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00" windowWidth="16005" windowHeight="10830" tabRatio="676" activeTab="0"/>
  </bookViews>
  <sheets>
    <sheet name="Read me first" sheetId="1" r:id="rId1"/>
    <sheet name="Enterprise Budgets" sheetId="2" r:id="rId2"/>
    <sheet name="Production Plan" sheetId="3" r:id="rId3"/>
    <sheet name="Whole Farm" sheetId="4" r:id="rId4"/>
    <sheet name="Investments,Loans" sheetId="5" r:id="rId5"/>
    <sheet name="Cash Flow" sheetId="6" r:id="rId6"/>
    <sheet name="Michigan Notes" sheetId="7" r:id="rId7"/>
  </sheets>
  <definedNames>
    <definedName name="_xlnm.Print_Area" localSheetId="5">'Cash Flow'!$A$1:$N$42</definedName>
  </definedNames>
  <calcPr fullCalcOnLoad="1"/>
</workbook>
</file>

<file path=xl/sharedStrings.xml><?xml version="1.0" encoding="utf-8"?>
<sst xmlns="http://schemas.openxmlformats.org/spreadsheetml/2006/main" count="931" uniqueCount="443">
  <si>
    <t>Fruit Production Budgets</t>
  </si>
  <si>
    <t>Cash Flow Projection</t>
  </si>
  <si>
    <t>Farm Name:</t>
  </si>
  <si>
    <t>Year</t>
  </si>
  <si>
    <t>Past</t>
  </si>
  <si>
    <t>Planning</t>
  </si>
  <si>
    <t>Per Acre</t>
  </si>
  <si>
    <t>Variety</t>
  </si>
  <si>
    <t>Actual</t>
  </si>
  <si>
    <t>Bearing</t>
  </si>
  <si>
    <t>Pre-prodn</t>
  </si>
  <si>
    <t>Establish</t>
  </si>
  <si>
    <t>Acres Bearing</t>
  </si>
  <si>
    <t>Indirect/Fixed Costs</t>
  </si>
  <si>
    <t>Income:</t>
  </si>
  <si>
    <t>Acres Pre-Production</t>
  </si>
  <si>
    <t>Fuel/Oil</t>
  </si>
  <si>
    <t>Yield</t>
  </si>
  <si>
    <t>Acres New Establish</t>
  </si>
  <si>
    <t>Price per</t>
  </si>
  <si>
    <t>Yield/Bearing Acre</t>
  </si>
  <si>
    <t>Utilities</t>
  </si>
  <si>
    <t>Price $/Unit</t>
  </si>
  <si>
    <t>Property Taxes</t>
  </si>
  <si>
    <t>Picking Cost $/Unit</t>
  </si>
  <si>
    <t>Insurance</t>
  </si>
  <si>
    <t>Direct Expenses:</t>
  </si>
  <si>
    <t>Dues/Accounting</t>
  </si>
  <si>
    <t>Land Preparation</t>
  </si>
  <si>
    <t>Fumigation etc.</t>
  </si>
  <si>
    <t>Misc.</t>
  </si>
  <si>
    <t>Trees</t>
  </si>
  <si>
    <t>Total</t>
  </si>
  <si>
    <t>Stakes/support</t>
  </si>
  <si>
    <t>Fertilizer</t>
  </si>
  <si>
    <t>Chemicals</t>
  </si>
  <si>
    <t>F.S.A.</t>
  </si>
  <si>
    <t>Supplies</t>
  </si>
  <si>
    <t>Transport</t>
  </si>
  <si>
    <t>Crop Insurance</t>
  </si>
  <si>
    <t>Calculated Harvest Labor</t>
  </si>
  <si>
    <t>Total Expense</t>
  </si>
  <si>
    <t>Direct Expenses</t>
  </si>
  <si>
    <t>Pre-Production</t>
  </si>
  <si>
    <t>Whole Farm Income and Expenses</t>
  </si>
  <si>
    <t>Dividends</t>
  </si>
  <si>
    <t>Rebates</t>
  </si>
  <si>
    <t>Repairs Machine</t>
  </si>
  <si>
    <t>Repairs Building</t>
  </si>
  <si>
    <t>Farm Truck, Auto</t>
  </si>
  <si>
    <t>Machinery Dealer</t>
  </si>
  <si>
    <t>EnterpriseGross Margins</t>
  </si>
  <si>
    <t>Calculation Section</t>
  </si>
  <si>
    <t>Total Gross Margins</t>
  </si>
  <si>
    <t>Misc labor &amp; assoc. costs</t>
  </si>
  <si>
    <r>
      <t>Payroll(</t>
    </r>
    <r>
      <rPr>
        <sz val="10"/>
        <color indexed="10"/>
        <rFont val="Arial"/>
        <family val="2"/>
      </rPr>
      <t>not in Ent.Budgets</t>
    </r>
    <r>
      <rPr>
        <sz val="10"/>
        <rFont val="Arial"/>
        <family val="0"/>
      </rPr>
      <t>)</t>
    </r>
  </si>
  <si>
    <t>Interest</t>
  </si>
  <si>
    <t>Expenses</t>
  </si>
  <si>
    <t xml:space="preserve">Investment Plan and Loan Service </t>
  </si>
  <si>
    <t xml:space="preserve">  Intermediate</t>
  </si>
  <si>
    <t xml:space="preserve">  Long-term</t>
  </si>
  <si>
    <t>Intermediate Principle and Interest - total annual payments</t>
  </si>
  <si>
    <t>Total Debt Service:</t>
  </si>
  <si>
    <t>Enterprise Gross Margin</t>
  </si>
  <si>
    <t>all enterprises</t>
  </si>
  <si>
    <t>Gross Margins</t>
  </si>
  <si>
    <t>Total G.M.</t>
  </si>
  <si>
    <t>Other Farm Income</t>
  </si>
  <si>
    <t>Whole Farm Expenses</t>
  </si>
  <si>
    <t>Whole Farm Margin</t>
  </si>
  <si>
    <t>Net Farm Revenue</t>
  </si>
  <si>
    <t>less</t>
  </si>
  <si>
    <t xml:space="preserve"> =</t>
  </si>
  <si>
    <t xml:space="preserve"> +</t>
  </si>
  <si>
    <t>Non Farm Income</t>
  </si>
  <si>
    <t>Net Cash available</t>
  </si>
  <si>
    <t>Family Living needs</t>
  </si>
  <si>
    <t>Government payments</t>
  </si>
  <si>
    <t>Roland P. Freund</t>
  </si>
  <si>
    <t>Farm Management Agent</t>
  </si>
  <si>
    <t>Penn State Cooperative Extension</t>
  </si>
  <si>
    <t>Purpose</t>
  </si>
  <si>
    <t>Functions</t>
  </si>
  <si>
    <t>Strategic planning</t>
  </si>
  <si>
    <t>Risk Management</t>
  </si>
  <si>
    <t xml:space="preserve">Examining the impact of changing acres of enterprises and the ratios of bearing to new plantings </t>
  </si>
  <si>
    <t>and pre-production acres within those enterprises.</t>
  </si>
  <si>
    <t xml:space="preserve"> -</t>
  </si>
  <si>
    <t xml:space="preserve">Investment planning </t>
  </si>
  <si>
    <t>Predicting debt repayment ability and availability of cash for family living purposes</t>
  </si>
  <si>
    <t>Caution</t>
  </si>
  <si>
    <t>Anticipated Income Taxes</t>
  </si>
  <si>
    <t>Note:  Estimated taxes should be inserted in the year in which they will be PAID.</t>
  </si>
  <si>
    <t>Viewing the impact of changes in yields and prices.</t>
  </si>
  <si>
    <t xml:space="preserve">No attempt has been made to calculate or predict Income and associated taxes.  </t>
  </si>
  <si>
    <t>Approach</t>
  </si>
  <si>
    <t>Enterprises</t>
  </si>
  <si>
    <t>Labor-Establish,Prune</t>
  </si>
  <si>
    <t>Custom operations</t>
  </si>
  <si>
    <t xml:space="preserve">Three budgets are prepared for each enterprise.  These are differentiated into "Bearing,"  </t>
  </si>
  <si>
    <t xml:space="preserve">"Pre-production", and "Establishment" to reflect the phases in the life of a stand of trees.   </t>
  </si>
  <si>
    <t>Whole Farm</t>
  </si>
  <si>
    <t xml:space="preserve">All income and expense items which have not been included in the enterprise budgets are treated </t>
  </si>
  <si>
    <t xml:space="preserve">as "Whole Farm". </t>
  </si>
  <si>
    <t>The program is designed for simplicity around three separate components - Enterprises,  Whole Farm,</t>
  </si>
  <si>
    <t>and Investments and Loan Service.</t>
  </si>
  <si>
    <r>
      <t>In the "</t>
    </r>
    <r>
      <rPr>
        <sz val="10"/>
        <rFont val="Arial"/>
        <family val="2"/>
      </rPr>
      <t>B</t>
    </r>
    <r>
      <rPr>
        <sz val="10"/>
        <rFont val="Arial"/>
        <family val="0"/>
      </rPr>
      <t>earing" budget for producing trees, income is calculated from Yield and Price.</t>
    </r>
  </si>
  <si>
    <t>From income the direct or variable costs are deducted to give an Enterprise Gross Margin.</t>
  </si>
  <si>
    <t>Capital Sales</t>
  </si>
  <si>
    <t>Investment and Loan Service</t>
  </si>
  <si>
    <t>track the cost of servicing the credit needs to put this plan into effect and still maintain liquididty.</t>
  </si>
  <si>
    <t>It is anticipated that analysis may be added later.</t>
  </si>
  <si>
    <t>Navigation Instructions</t>
  </si>
  <si>
    <t>Layout</t>
  </si>
  <si>
    <t>The program uses numerous sheets of this "Workbook".  Each is identified by the "tab" at the</t>
  </si>
  <si>
    <t>Sheets</t>
  </si>
  <si>
    <t>Read me first</t>
  </si>
  <si>
    <t>Describes the program and provides instruction on how to use it.</t>
  </si>
  <si>
    <t>Enterprise Budgets</t>
  </si>
  <si>
    <t>Production Plan</t>
  </si>
  <si>
    <t xml:space="preserve">The user can elect the years (up to seven) to be examined, and then define for each chosen </t>
  </si>
  <si>
    <t xml:space="preserve">enterprise and each year, the acres which will be allocated to bearing, growing and newly </t>
  </si>
  <si>
    <t>established trees. Income is calculated and shown for the bearing acres of each enterprise.</t>
  </si>
  <si>
    <t>A calculation section shows the cost by stage of growth for each enterprise and deducts</t>
  </si>
  <si>
    <t>the total of these costs from the income to arrive at a Gross Margin for each enterprise.</t>
  </si>
  <si>
    <t>bottom of your screen.  Simply click on the tab to move to that worksheet.</t>
  </si>
  <si>
    <t>Investments, Loans</t>
  </si>
  <si>
    <t>Capital transactions and the cost of debt service and loan activities are accounted for here.</t>
  </si>
  <si>
    <t>Cash Flow</t>
  </si>
  <si>
    <t>The results are tabulated here and presented in the form of estimated annual cash-flow.</t>
  </si>
  <si>
    <t>calendar year.</t>
  </si>
  <si>
    <t>on the "Cash Flow" sheet.  The assistance of your tax accountant will be necessary for accuracy.</t>
  </si>
  <si>
    <t>Input instructions</t>
  </si>
  <si>
    <t>These budgets are to be used for planning purposes, so the figures used should reflect your best</t>
  </si>
  <si>
    <t>estimate of average yield, price, and costs for the next five years.  It is better to be conservative.</t>
  </si>
  <si>
    <t xml:space="preserve">For each enterprise use units in which that commodity is normally priced.  </t>
  </si>
  <si>
    <t>Input data is to be entered only in cells which are bordered in blue. Inputs will appear blue on the screen.</t>
  </si>
  <si>
    <t>For simplification combine all preparation, planting and those "Establishment" costs as one year costs.</t>
  </si>
  <si>
    <t>Yield / Price:  Use a five year average to estimate future yields and prices.</t>
  </si>
  <si>
    <t>Ideally spray records or typical application schedules should be the basis for budgeting input costs.</t>
  </si>
  <si>
    <t>Labor to Establish/Prune:  Do not include the value of the contribution of owner or full-time salaried</t>
  </si>
  <si>
    <t>employees here.  Those will be accounted for in "Whole Farm" expenses.</t>
  </si>
  <si>
    <t>Plotting a strategy to replace trees removed for age, productivity, disease (Plumpox) etc.</t>
  </si>
  <si>
    <t>Alternative Plans</t>
  </si>
  <si>
    <t>First prepare a "Base Plan" and save it "AS" a workbook which you can easily identify.</t>
  </si>
  <si>
    <t xml:space="preserve">For an alternative plan, "SAVE AS" a new named workbook and make the change you wish to observe. </t>
  </si>
  <si>
    <t>All sheets are linked so that a change of input in one sheet automatically changes all related portions</t>
  </si>
  <si>
    <t>of every other worksheet.</t>
  </si>
  <si>
    <t>Care should be exercised to at least observe the impact on cash-flow of one input change before making</t>
  </si>
  <si>
    <t>another change of input.</t>
  </si>
  <si>
    <t xml:space="preserve">insert all the changes of acres in subsequent years as such new plantings change from preproduction to </t>
  </si>
  <si>
    <t>bearing status. Likewise if removing acres of peaches in year 2, user must remove them from years3 to 6.</t>
  </si>
  <si>
    <t>Total Orchard acres</t>
  </si>
  <si>
    <t>This is where production for past year plus plans for the current year and the next 5 years can be entered.</t>
  </si>
  <si>
    <t xml:space="preserve">For each year the acres of each enterprise must be carefully considered and  classified as "Bearing", </t>
  </si>
  <si>
    <t>Pre-production or "New Established."  If new plantings are changed  one year, then the consequent changes</t>
  </si>
  <si>
    <t xml:space="preserve">"Pre-production" stands do not have zero yield for 5 years then suddenly have full yield.  If 10 acres of </t>
  </si>
  <si>
    <t xml:space="preserve"> the "Production Plan' sheet.</t>
  </si>
  <si>
    <t>young trees are bearing at 30% of mature yield, then enter 7 acres as preprodutive and 3 as bearing in</t>
  </si>
  <si>
    <t>available resources.</t>
  </si>
  <si>
    <t xml:space="preserve">Until trees are close to "normal" yield we treat them as being in the pre-productive phase.  Budget costs as </t>
  </si>
  <si>
    <t xml:space="preserve">for second and third year stands.  To adjust for yield from such trees adjust the acres in the "Production </t>
  </si>
  <si>
    <t xml:space="preserve"> </t>
  </si>
  <si>
    <t>Plan" sheet to reflect expected fruit yields. See line 8 of next page - Production Plan instructions</t>
  </si>
  <si>
    <t>All planning years automatically carry forward the yield and price from the relavent "Enterprise Budget".</t>
  </si>
  <si>
    <t>Line 5:  Cooperative dividends and similar distributions</t>
  </si>
  <si>
    <t>Line 6:  Gas tax refund and other rebates.</t>
  </si>
  <si>
    <t>Lines 8 - 11:  Insert your own farm income categories here - custom work, rental income, etc.</t>
  </si>
  <si>
    <t>of the business and the budgeted support of the family(ies) involved.</t>
  </si>
  <si>
    <t xml:space="preserve">Line 33:  Partnership draws or cash withdrawn for family living.  Include all income counted in line 14 </t>
  </si>
  <si>
    <t>Intermediate assets are those used from two to 10 years - machinery breeding stock, fruit trees</t>
  </si>
  <si>
    <t>Long-term assets are those used more than 10 years - buildings, structures, land etc.</t>
  </si>
  <si>
    <t>Scheduled Debt Service</t>
  </si>
  <si>
    <t>Surplus equipment</t>
  </si>
  <si>
    <t>Real Estate</t>
  </si>
  <si>
    <t>Equipment</t>
  </si>
  <si>
    <t>Long term Principle and Interest - total annual payments</t>
  </si>
  <si>
    <t>a</t>
  </si>
  <si>
    <t>Item name:</t>
  </si>
  <si>
    <t>b</t>
  </si>
  <si>
    <t>Initial cost:</t>
  </si>
  <si>
    <t>$</t>
  </si>
  <si>
    <t>c</t>
  </si>
  <si>
    <t>Amount of loan:</t>
  </si>
  <si>
    <t>d</t>
  </si>
  <si>
    <t>Interest rate:</t>
  </si>
  <si>
    <t>%</t>
  </si>
  <si>
    <t>e</t>
  </si>
  <si>
    <t>Loan period:</t>
  </si>
  <si>
    <t>years</t>
  </si>
  <si>
    <t>f</t>
  </si>
  <si>
    <t>g</t>
  </si>
  <si>
    <t>h</t>
  </si>
  <si>
    <t xml:space="preserve">   Own funds used</t>
  </si>
  <si>
    <t>Payments this year</t>
  </si>
  <si>
    <t>Monthly payment</t>
  </si>
  <si>
    <t>months</t>
  </si>
  <si>
    <t>Pre-existing Loan Payment Obligations</t>
  </si>
  <si>
    <t>New Investments - Planned Capital Purchases</t>
  </si>
  <si>
    <t>Loan</t>
  </si>
  <si>
    <t xml:space="preserve"># of </t>
  </si>
  <si>
    <t>Paymts</t>
  </si>
  <si>
    <t>Annual Payments</t>
  </si>
  <si>
    <t>Existing</t>
  </si>
  <si>
    <t>Intermediate</t>
  </si>
  <si>
    <t>Long-term</t>
  </si>
  <si>
    <t>Tot.Payments</t>
  </si>
  <si>
    <t>New Loan Payments</t>
  </si>
  <si>
    <t>Total Sales</t>
  </si>
  <si>
    <t>Capital Purchases</t>
  </si>
  <si>
    <t xml:space="preserve">Own Funds </t>
  </si>
  <si>
    <t>Cash Required</t>
  </si>
  <si>
    <t>Purchase Price</t>
  </si>
  <si>
    <t>Planting</t>
  </si>
  <si>
    <t>( Intermediate) investment required for this proposal:</t>
  </si>
  <si>
    <t>(Intermediate) investment required for this proposal:</t>
  </si>
  <si>
    <t>Credit Terms for New Investments and Loans</t>
  </si>
  <si>
    <t>Description</t>
  </si>
  <si>
    <t>Buildings/Improvements</t>
  </si>
  <si>
    <t xml:space="preserve"> (Long Term) investment required for this proposal:</t>
  </si>
  <si>
    <t xml:space="preserve"> (Long-term) investments required for this proposal:</t>
  </si>
  <si>
    <t>Term Debt Service</t>
  </si>
  <si>
    <t>=</t>
  </si>
  <si>
    <t>%Inc.delayed to next year</t>
  </si>
  <si>
    <t>Current</t>
  </si>
  <si>
    <t>Year Inc.</t>
  </si>
  <si>
    <t>Next</t>
  </si>
  <si>
    <t>Note:</t>
  </si>
  <si>
    <t>If payments are delayed</t>
  </si>
  <si>
    <t>these Gross Margins</t>
  </si>
  <si>
    <t>may not agree with the</t>
  </si>
  <si>
    <t>figures on next sheet.</t>
  </si>
  <si>
    <t>Inc. received this year</t>
  </si>
  <si>
    <t>Income next year</t>
  </si>
  <si>
    <t>Term Loans to cover</t>
  </si>
  <si>
    <t>Enterprise Expenses</t>
  </si>
  <si>
    <t>Cash Surplus/Deficit</t>
  </si>
  <si>
    <t xml:space="preserve">Provision has been made for split or delayed payments which will delay income into the next </t>
  </si>
  <si>
    <t>the cost for each phase of each enterprise.  That may not be much better than an educated guess.</t>
  </si>
  <si>
    <t>% Income delayed to next year: Estimate the % of the total payments which will not be received from</t>
  </si>
  <si>
    <t>the processor or packer until the year following harvest.</t>
  </si>
  <si>
    <t>Picking cost:  Base this on piece-work rates but raise it to cover the other costs of hiring those workers.</t>
  </si>
  <si>
    <t>in subsequent years must be entered accordingly.  This is where manager's judgment must be used.</t>
  </si>
  <si>
    <t xml:space="preserve">These numbers can then be copied (Ctrl.R) across subsequent planning years or adjusted to reflect future </t>
  </si>
  <si>
    <t>changes in production plans in different years.</t>
  </si>
  <si>
    <t>Income - farm general</t>
  </si>
  <si>
    <t xml:space="preserve">Income - non-farm </t>
  </si>
  <si>
    <t>Pre-existing Loan Payment Obligations:</t>
  </si>
  <si>
    <t>Capital Sales:</t>
  </si>
  <si>
    <t>New Investments - Planned Capital Purchases:</t>
  </si>
  <si>
    <t>This figure should give a rough guide to taxable income</t>
  </si>
  <si>
    <t>&lt;-</t>
  </si>
  <si>
    <t>Results of plan outlined on prior sheets.</t>
  </si>
  <si>
    <t xml:space="preserve">Before entering inputs on this sheet, change inputs on </t>
  </si>
  <si>
    <t>Payment obligations for each loan for each year of the planning period will be automatically calculated.</t>
  </si>
  <si>
    <t>For each planned capital purchase enter the financing terms in lines c through f of the appropriate year.</t>
  </si>
  <si>
    <t>Each scheduled new capital obligation scheduled above copies down to this section.</t>
  </si>
  <si>
    <t>Input Instructions - Continued</t>
  </si>
  <si>
    <t>Interpretation of Results</t>
  </si>
  <si>
    <t>The inputs near the bottom of this section are to enable the planner to "fine-tune" the results of an</t>
  </si>
  <si>
    <t>acceptable production and capital investment plan.</t>
  </si>
  <si>
    <t>Tax management strategies and how capital items are depreciated can have a big impact on taxes.</t>
  </si>
  <si>
    <t>Consult your tax accountant after you have looked at enough alternatives to choose your plan.</t>
  </si>
  <si>
    <t>Acres</t>
  </si>
  <si>
    <t>Gross Margin per Acre - Based upon cash flow for each year.</t>
  </si>
  <si>
    <t>The Gross Margin is the $Income received in the year minus the budgeted expenses for each enterprise.</t>
  </si>
  <si>
    <t>For the calculations behind these numbers see the Calculation Section of "Production Plan" sheet.</t>
  </si>
  <si>
    <t>The total Gross Margin represents the net contribution all enterprises make to the farm</t>
  </si>
  <si>
    <t>This gives us an indication of the cash-flow impact of the farm operation.</t>
  </si>
  <si>
    <t>Apparent Surplus/Deficit</t>
  </si>
  <si>
    <t xml:space="preserve">This adjusts Farm Revenue for Non-farm Income and Family Living and Income Taxes. </t>
  </si>
  <si>
    <t>However, there is a cash-flow discrepancy whenever Term Loans are used to cover enterprise costs</t>
  </si>
  <si>
    <t>This represents the "Bottom Line"cash flow  value of business and family for each year.</t>
  </si>
  <si>
    <t>If this shows numbers which will be difficult or impossible to handle then the plan needs to be changed.</t>
  </si>
  <si>
    <t>Re-examine the Investments and loans and try a more conservative capital investment plan.</t>
  </si>
  <si>
    <t>Revise the Production Plan concentrating on long-term production potential, even if it may be necessary</t>
  </si>
  <si>
    <t>to borrow money for a few years to cover establisment costs of new plantings.</t>
  </si>
  <si>
    <t xml:space="preserve">Enter payments already scheduled to cover the amortized and scheduled payments on </t>
  </si>
  <si>
    <t>Debt Service for obligations on notes, loans and long-term mortgages which existed before the plan.</t>
  </si>
  <si>
    <t>Likewise if an old block will have declining yield, reduce the effective bearing acres accordingly.</t>
  </si>
  <si>
    <t>In this section we account for all operating income and expenses which are not already included in the</t>
  </si>
  <si>
    <t>Trees/Vines</t>
  </si>
  <si>
    <t>SUMMARY</t>
  </si>
  <si>
    <t>All income and expenses which have NOT already been included in the Enterprise Budgets</t>
  </si>
  <si>
    <t xml:space="preserve"> ------------------------------------ Projected -------------------------------------------</t>
  </si>
  <si>
    <t>From Whole Farm Margin is deducted Debt Service from "Investment,Loans" sheet.</t>
  </si>
  <si>
    <t>It is important to recognise that these results reflect only the Cash Flow impact of a chosen plan.</t>
  </si>
  <si>
    <t xml:space="preserve">After a preliminary viewing of the results, these should be estimated and inserted in line 32. </t>
  </si>
  <si>
    <t>Orchard/Vineyard Cash Flow Planner</t>
  </si>
  <si>
    <t xml:space="preserve">To project the cash flow for an orchard/vineyard operation over a period of seven years . </t>
  </si>
  <si>
    <t>The orchardist/vigneron can use this for:</t>
  </si>
  <si>
    <t>Orchard/Vineyard Production Plan</t>
  </si>
  <si>
    <t>Family Living Required</t>
  </si>
  <si>
    <t>if all non-farm income is included in the totals.</t>
  </si>
  <si>
    <r>
      <t xml:space="preserve">Enter in the year in which taxes will be </t>
    </r>
    <r>
      <rPr>
        <b/>
        <sz val="10"/>
        <rFont val="Arial"/>
        <family val="2"/>
      </rPr>
      <t>paid</t>
    </r>
    <r>
      <rPr>
        <sz val="10"/>
        <rFont val="Arial"/>
        <family val="0"/>
      </rPr>
      <t>.</t>
    </r>
  </si>
  <si>
    <t>This is to keep track of planned changes in the Capital Accounts of the business. It also serves to</t>
  </si>
  <si>
    <r>
      <t xml:space="preserve">Results are summarized in terms of </t>
    </r>
    <r>
      <rPr>
        <b/>
        <sz val="10"/>
        <rFont val="Arial"/>
        <family val="2"/>
      </rPr>
      <t>Cash-flow</t>
    </r>
    <r>
      <rPr>
        <sz val="10"/>
        <rFont val="Arial"/>
        <family val="0"/>
      </rPr>
      <t>.</t>
    </r>
  </si>
  <si>
    <t>Any funds injected into business to cover establishment and/or operating costs.</t>
  </si>
  <si>
    <t>Include bank finance, other notes and own savings or cash reserves.</t>
  </si>
  <si>
    <t>It is better to approximate the cash flow effects of income taxes than to ignore them.</t>
  </si>
  <si>
    <t xml:space="preserve">In this section we account for operating income and expenses which are not included in the  </t>
  </si>
  <si>
    <t>Enterprise Budgets sheet. Interest is dealt with in "Investments, Loans."</t>
  </si>
  <si>
    <r>
      <t xml:space="preserve">If whole-orchard costs are averaged, then this average number must be carefully </t>
    </r>
    <r>
      <rPr>
        <b/>
        <sz val="10"/>
        <rFont val="Arial"/>
        <family val="2"/>
      </rPr>
      <t>weighted</t>
    </r>
    <r>
      <rPr>
        <sz val="10"/>
        <rFont val="Arial"/>
        <family val="0"/>
      </rPr>
      <t xml:space="preserve"> to estimate</t>
    </r>
  </si>
  <si>
    <r>
      <t xml:space="preserve">preceding enterprise budgets and production plan. </t>
    </r>
    <r>
      <rPr>
        <b/>
        <sz val="10"/>
        <rFont val="Arial"/>
        <family val="2"/>
      </rPr>
      <t>Capital purchases/debt service are not included here.</t>
    </r>
  </si>
  <si>
    <t>Remember to include income taxes in the year in which they are PAID.  This may or may not be</t>
  </si>
  <si>
    <t>in the same year in which the income is EARNED.</t>
  </si>
  <si>
    <t>It is important to differentiate orchard input costs between enterprises and between production phases.</t>
  </si>
  <si>
    <t>Note: Annual crops (sweet corn, pumpkins etc.) are budgeted as "bearing year" crops.</t>
  </si>
  <si>
    <t>Suggestion:  Print these instructions before you continue.  This simplifies surfing the workbook.</t>
  </si>
  <si>
    <r>
      <t>Remember:</t>
    </r>
    <r>
      <rPr>
        <sz val="10"/>
        <rFont val="Arial"/>
        <family val="0"/>
      </rPr>
      <t xml:space="preserve"> when changing acres in the production plan by establishing new plantings the user must </t>
    </r>
  </si>
  <si>
    <t>Instructions Continue -&gt;</t>
  </si>
  <si>
    <t>Rent</t>
  </si>
  <si>
    <t>Mower</t>
  </si>
  <si>
    <t>Alternatively, use "Past Year" for first planning year, but follow "Past Year" instructions for inputs.</t>
  </si>
  <si>
    <r>
      <t xml:space="preserve">For the </t>
    </r>
    <r>
      <rPr>
        <b/>
        <sz val="10"/>
        <rFont val="Arial"/>
        <family val="2"/>
      </rPr>
      <t>"Past Year" (1st Column) only</t>
    </r>
    <r>
      <rPr>
        <sz val="10"/>
        <rFont val="Arial"/>
        <family val="0"/>
      </rPr>
      <t xml:space="preserve"> enter that year's yield and actual cash receipts for that year. </t>
    </r>
  </si>
  <si>
    <r>
      <t>Inc. received this year:</t>
    </r>
    <r>
      <rPr>
        <sz val="10"/>
        <rFont val="Arial"/>
        <family val="0"/>
      </rPr>
      <t xml:space="preserve"> Include both delayed payments from previous season and new harvest receipts</t>
    </r>
  </si>
  <si>
    <r>
      <t>Income next year:</t>
    </r>
    <r>
      <rPr>
        <sz val="10"/>
        <rFont val="Arial"/>
        <family val="2"/>
      </rPr>
      <t xml:space="preserve"> Calculates the $ income from "Past year" harvest which will be paid in the next year.</t>
    </r>
  </si>
  <si>
    <t>The payment delay in subsequent years are computed from the "Enterprise Budget" inputs.</t>
  </si>
  <si>
    <t>Suggestion:  Record actual figures for "Past year" (Col.C), then adjust planning years from these.</t>
  </si>
  <si>
    <t>Line 14:  All non-farm gross wages, salaries, or investment incomes which are pertinent to the cash-flow</t>
  </si>
  <si>
    <t>Loans for Planting</t>
  </si>
  <si>
    <t>Loans for Planting(1.)</t>
  </si>
  <si>
    <r>
      <t>(1.)</t>
    </r>
    <r>
      <rPr>
        <sz val="10"/>
        <rFont val="Arial"/>
        <family val="0"/>
      </rPr>
      <t xml:space="preserve"> Note: This is to account for term loans used to cover establishment costs etc. of new plantings.</t>
    </r>
  </si>
  <si>
    <t>Capital assets, those used in the business for two or more years, are planned for in this section.</t>
  </si>
  <si>
    <t xml:space="preserve">If any of this scheduled debt is for establishing new plantings associated with the enterprises and </t>
  </si>
  <si>
    <t>Include amounts to cover all other loan obligations with "interest only" or "as available" terms.</t>
  </si>
  <si>
    <r>
      <t>If using "Past Year" as first planning year</t>
    </r>
    <r>
      <rPr>
        <sz val="10"/>
        <rFont val="Arial"/>
        <family val="0"/>
      </rPr>
      <t>, include all loan obligations planned for that year in this</t>
    </r>
  </si>
  <si>
    <t>"Pre-existing Loan Payment" section and extend payments out for the applicable years.</t>
  </si>
  <si>
    <t>The results of all of these computations are summarized in the calculation section, Columns K. - S.</t>
  </si>
  <si>
    <t>which had already been calculated in the Gross Margin computations of Establishment Year etc.</t>
  </si>
  <si>
    <t>rfreund @psu.edu</t>
  </si>
  <si>
    <t>Enter data in blue cells</t>
  </si>
  <si>
    <t>Sample data for illustration only. Use your own facts</t>
  </si>
  <si>
    <t>Wood Sales</t>
  </si>
  <si>
    <t>Farm Market</t>
  </si>
  <si>
    <t>Land Rent</t>
  </si>
  <si>
    <t>Operating Interest</t>
  </si>
  <si>
    <t>David</t>
  </si>
  <si>
    <t>Bev</t>
  </si>
  <si>
    <t>Adams Co. Nat. Bank</t>
  </si>
  <si>
    <t>Parents Mortgage</t>
  </si>
  <si>
    <t>Lenders may require this be used for debt reduction. If so adjust debt payments above. If Cash available</t>
  </si>
  <si>
    <t>Enter $ amt. here:</t>
  </si>
  <si>
    <t>Market</t>
  </si>
  <si>
    <t>Asset for sale:</t>
  </si>
  <si>
    <t>62 acres</t>
  </si>
  <si>
    <t>Land</t>
  </si>
  <si>
    <t>Land + Improvements</t>
  </si>
  <si>
    <t>Lenders may require this to be used for debt reduction. If so adjust debt payments above. If Cash available</t>
  </si>
  <si>
    <r>
      <t>Version:</t>
    </r>
    <r>
      <rPr>
        <sz val="10"/>
        <color indexed="10"/>
        <rFont val="Arial"/>
        <family val="2"/>
      </rPr>
      <t xml:space="preserve"> 2.0</t>
    </r>
  </si>
  <si>
    <t>April, 2002</t>
  </si>
  <si>
    <t>User can prepare budgets for three stages of up to eight tree/vine or annual crop enterprises.</t>
  </si>
  <si>
    <t>Enter $ amount you plan to get from sales of machinery, equipment, vehicles etc..</t>
  </si>
  <si>
    <t>Enter $ amount you plan to get from sales of land and fixed improvements etc..</t>
  </si>
  <si>
    <t>Check "Total Orchard Acres" (Row 71) to be sure that your planned acres are consistent and do not exceed</t>
  </si>
  <si>
    <t>if this income is normally allocated to those family purposes.</t>
  </si>
  <si>
    <t xml:space="preserve">Enter $amount of each planned capital sale in the appropriate category line ( 22 thru 32) and year column. </t>
  </si>
  <si>
    <t>In lines 26 and 32 enter the cash available from these sales after bank leins have been met.</t>
  </si>
  <si>
    <t>Describe each item or group of items to be purchased (lines 36, 38,41, 43) in each year of the plan.</t>
  </si>
  <si>
    <t xml:space="preserve">Enter $amount of each planned capital purchase in cell below the described item. (lines 37, 39, 32, 44.). </t>
  </si>
  <si>
    <t>calculated in the "Production Plan" sheet, the amount must be entered in the appropriate year on line 39.</t>
  </si>
  <si>
    <t>Credit terms for New Investments and Loans - Line 49 - 91.</t>
  </si>
  <si>
    <t>Income taxes - line 34:</t>
  </si>
  <si>
    <t>Line 30 can serve as a guide to taxable income - but only a guide.</t>
  </si>
  <si>
    <t>Enterprise Gross Margins (Lines 6 through 15)</t>
  </si>
  <si>
    <t>To compare Gross Margins per Acre devoted to each enterprise see lines 134 through 142 of that sheet.</t>
  </si>
  <si>
    <t>Whole Farm Margin - (Line22)</t>
  </si>
  <si>
    <t>To line 15 is added Other Farm Income, and whole farm expenses are deducted - from "Whole Farm " sheet.</t>
  </si>
  <si>
    <t>Net Farm Revenue (Line 26)</t>
  </si>
  <si>
    <t>Apparent Surplus/Deficit (Line 36)</t>
  </si>
  <si>
    <t>Line 38 adds the proceeds of such loans back into cash flow which enables us to get a clearer picture of:</t>
  </si>
  <si>
    <t>Cash Surplus/Deficit (Line 41)</t>
  </si>
  <si>
    <t>Be sure that you can live with line 41 $$.</t>
  </si>
  <si>
    <t>prior sheets to get a figure you can live with in line 41.</t>
  </si>
  <si>
    <t>(ton)</t>
  </si>
  <si>
    <t>.</t>
  </si>
  <si>
    <t>Tall Spindle Apples</t>
  </si>
  <si>
    <t>Vertical Axe Apples</t>
  </si>
  <si>
    <t>Central Leader Apples</t>
  </si>
  <si>
    <t>(lb) Mechanical</t>
  </si>
  <si>
    <t>(lb) Hand Harvest</t>
  </si>
  <si>
    <t>year 3</t>
  </si>
  <si>
    <t>(lb)</t>
  </si>
  <si>
    <t>Peaches-Penn 2002</t>
  </si>
  <si>
    <t>Sweet Cherries Need Work</t>
  </si>
  <si>
    <t>Picking cost 28 cents X 1.25 (fringe) X 1.153 (housing, toilets, supervision)</t>
  </si>
  <si>
    <t>Blue Berry Frozen</t>
  </si>
  <si>
    <t>Blue Berry Fresh MK</t>
  </si>
  <si>
    <t>Cheeries Tart (2011)</t>
  </si>
  <si>
    <t>Michigan Notes:</t>
  </si>
  <si>
    <t xml:space="preserve">Droping high and low year did not affect averages on tarts and processed sweets and only changed the price of </t>
  </si>
  <si>
    <t>Fresh sweets by .01.  Low and High year were therefore left in the averages.</t>
  </si>
  <si>
    <t>Tart Cherries:</t>
  </si>
  <si>
    <t>Sweet Cherries:</t>
  </si>
  <si>
    <t xml:space="preserve">     Fresh</t>
  </si>
  <si>
    <t xml:space="preserve">     Processed</t>
  </si>
  <si>
    <t>Cost per acre do not include return to management and labor, interest on operating capital or property taxes.</t>
  </si>
  <si>
    <t>Prices per pound</t>
  </si>
  <si>
    <t>Tart and Sweet Cherry prices have been updated to be the 10 year average price from 2002-2011 (NASS).</t>
  </si>
  <si>
    <t>Apples (blended price)</t>
  </si>
  <si>
    <t xml:space="preserve">      Fresh</t>
  </si>
  <si>
    <t xml:space="preserve">      Processed</t>
  </si>
  <si>
    <t>AVG</t>
  </si>
  <si>
    <t>Average minus H &amp; L year</t>
  </si>
  <si>
    <t>$/bu</t>
  </si>
  <si>
    <t>Sweet Cherry budgeted cost based on relative expense comparisons in 2001 with Tart Cherries, updated to 2010 tart cherry numbers from AEC Report 639.</t>
  </si>
  <si>
    <t>Sweet Ch. Fresh (2011)</t>
  </si>
  <si>
    <t>Swt. Ch. Brine-2011</t>
  </si>
  <si>
    <t>Swt Ch. Proc. DK (2011)</t>
  </si>
  <si>
    <t>Some table errors were found in the original file from Penn State.  Corrected these on 8/31.  Please verify that numbers in production plan look reasonable.</t>
  </si>
  <si>
    <t>These are Extra Budgets.  The data must be copied to the eight budgets in columns A thru I in order for them to function.</t>
  </si>
  <si>
    <t>Yr. 4</t>
  </si>
  <si>
    <t>Blueberries</t>
  </si>
  <si>
    <t>Average minus H &amp; L</t>
  </si>
  <si>
    <t>Michigan Example Fruit Farm</t>
  </si>
  <si>
    <t>Blueberry and Grape budgets are from Mark Longstroth.</t>
  </si>
  <si>
    <t>Developed each of these budgets (production year only) into Finpack and in the process broke out non-harvest labor and fuel cost from Labor/Est/Prune line in budgets</t>
  </si>
  <si>
    <t>Next Steps are to make minor changes in some budgets based on updated information (RAMP Tart cherry report from 2011).  Slight changes to Tart/Sweet budgets.</t>
  </si>
  <si>
    <t>Non harvest Labor, Non harvest equipment cost (including dep, int), Scouting Fees, and Bee rental.</t>
  </si>
  <si>
    <t>Tart Cherry budget revised to be consistant with 2011 RAMP Project Transition budget, including changing cost of harvest from .0437 cents/lb to .0327 cents/pound</t>
  </si>
  <si>
    <t>Sweet Cherry revised to mirror updates on cost with Tart cherry budget.</t>
  </si>
  <si>
    <t xml:space="preserve">Fuel cost have been set to $3.50 per gallon for non-harvest fuel.  These cost are wrapped in Labor/Est/Prune line with </t>
  </si>
  <si>
    <t>Note:  In these budgets all labor is included that can be attributed to the individual crops produced.  Users will need to input other general labor in the "Whole Farm" Section.</t>
  </si>
  <si>
    <t xml:space="preserve">  </t>
  </si>
  <si>
    <t>*Land Prepartion includes all cost of land preperation including Machinery (all cost), fuel, and labor</t>
  </si>
  <si>
    <t>*Labor-Establish,Prune includes Machinery (all cost), fuel, and all non harvest labor</t>
  </si>
  <si>
    <t>*Users should take care to not include labor, machinery repairs and depreciation and other cost that are already included in the Enterprise Budgets.</t>
  </si>
  <si>
    <t>Michigan Fruit Version</t>
  </si>
  <si>
    <t>Stan Moore</t>
  </si>
  <si>
    <t>Extension Educator</t>
  </si>
  <si>
    <t>MSU Extension</t>
  </si>
  <si>
    <t>moorest@msu.edu</t>
  </si>
  <si>
    <t>*Michigan version includes all fuel and machinery cost related to each enterprise</t>
  </si>
  <si>
    <t xml:space="preserve">Before entering inputs on this sheet, change inputs on prior sheets to get a figure you can live with in line 41. </t>
  </si>
  <si>
    <t>Corrected Blueberry preplant budget with 9-27 version.  Budget was overcharging for land preperation disking by $180.</t>
  </si>
  <si>
    <t>Wine Grapes (2007)</t>
  </si>
  <si>
    <t>Corrected Establishment and Non-Bearing cost for Wine Grapes with 9-28 version.  Updated from old Penn State Values.</t>
  </si>
  <si>
    <t>Apple production, and cost were all received from Phil Schwallier (2008).  Price per bushel is based on a 48 lb/bu and the 10 year average price per poind from 2002-2011 (NASS).  Blended price used in Enterprise Budget</t>
  </si>
  <si>
    <t>Juice Grapes (2007)</t>
  </si>
  <si>
    <t>Added Establishment and Non-Bearing cost for Juice Grapes with 9-28 version.  Data for this and Wine Grapes from Mark Longstroth.</t>
  </si>
  <si>
    <t>Adjusted non-bearing cost of apples to be consistant with new Finpack Fruit budgets in 10-2 version.</t>
  </si>
  <si>
    <t>Adjusted non-bearing cost of blueberries to be year 3 to be consistant with new Finpack Fruit budgets in 10-2 version.</t>
  </si>
  <si>
    <t>*This is the 10-2-2012 version of this worksheet for Michigan Fruit Producers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</si>
</sst>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0.0"/>
    <numFmt numFmtId="167" formatCode="#,##0.000"/>
    <numFmt numFmtId="168" formatCode="#,##0.0"/>
    <numFmt numFmtId="169" formatCode="_(&quot;$&quot;* #,##0.000_);_(&quot;$&quot;* \(#,##0.000\);_(&quot;$&quot;* &quot;-&quot;??_);_(@_)"/>
    <numFmt numFmtId="170" formatCode="\(0\)"/>
    <numFmt numFmtId="171" formatCode="&quot;$&quot;#,##0.;;"/>
    <numFmt numFmtId="172" formatCode="&quot;$&quot;#,##0.00;;"/>
    <numFmt numFmtId="173" formatCode="0_);[Red]\(0\)"/>
    <numFmt numFmtId="174" formatCode="#,##0.00000000000"/>
    <numFmt numFmtId="175" formatCode="_(&quot;$&quot;* #,##0.0000_);_(&quot;$&quot;* \(#,##0.0000\);_(&quot;$&quot;* &quot;-&quot;??_);_(@_)"/>
    <numFmt numFmtId="176" formatCode="#,##0.000000000000"/>
    <numFmt numFmtId="177" formatCode="#,##0.0000000000"/>
    <numFmt numFmtId="178" formatCode="#,##0.000000000"/>
    <numFmt numFmtId="179" formatCode="#,##0.0_);\(#,##0.0\)"/>
    <numFmt numFmtId="180" formatCode="0.000000000"/>
    <numFmt numFmtId="181" formatCode="0.00000000"/>
    <numFmt numFmtId="182" formatCode="0.0000000000"/>
    <numFmt numFmtId="183" formatCode="0.00000000000"/>
    <numFmt numFmtId="184" formatCode="[$-409]dddd\,\ mmmm\ dd\,\ yyyy"/>
    <numFmt numFmtId="185" formatCode="m/d/yy;@"/>
  </numFmts>
  <fonts count="61">
    <font>
      <sz val="10"/>
      <name val="Arial"/>
      <family val="0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9"/>
      <name val="Geneva"/>
      <family val="2"/>
    </font>
    <font>
      <sz val="9"/>
      <name val="Geneva"/>
      <family val="2"/>
    </font>
    <font>
      <u val="single"/>
      <sz val="9"/>
      <name val="Geneva"/>
      <family val="2"/>
    </font>
    <font>
      <b/>
      <u val="single"/>
      <sz val="9"/>
      <name val="Geneva"/>
      <family val="2"/>
    </font>
    <font>
      <b/>
      <sz val="10"/>
      <name val="Helv"/>
      <family val="0"/>
    </font>
    <font>
      <b/>
      <sz val="10"/>
      <color indexed="39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3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gray0625"/>
    </fill>
    <fill>
      <patternFill patternType="solid">
        <fgColor indexed="6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39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/>
      <top style="thin"/>
      <bottom style="thin">
        <color indexed="39"/>
      </bottom>
    </border>
    <border>
      <left style="thin"/>
      <right>
        <color indexed="63"/>
      </right>
      <top style="thin">
        <color indexed="39"/>
      </top>
      <bottom style="thin"/>
    </border>
    <border>
      <left>
        <color indexed="63"/>
      </left>
      <right>
        <color indexed="63"/>
      </right>
      <top style="thin">
        <color indexed="39"/>
      </top>
      <bottom style="thin"/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/>
    </border>
    <border>
      <left style="thin">
        <color indexed="39"/>
      </left>
      <right style="thin"/>
      <top style="thin">
        <color indexed="39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19" xfId="44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0" fontId="1" fillId="0" borderId="17" xfId="0" applyFont="1" applyBorder="1" applyAlignment="1">
      <alignment horizontal="right"/>
    </xf>
    <xf numFmtId="164" fontId="0" fillId="0" borderId="19" xfId="44" applyNumberFormat="1" applyFont="1" applyBorder="1" applyAlignment="1">
      <alignment/>
    </xf>
    <xf numFmtId="0" fontId="2" fillId="0" borderId="0" xfId="0" applyFont="1" applyBorder="1" applyAlignment="1">
      <alignment/>
    </xf>
    <xf numFmtId="44" fontId="0" fillId="34" borderId="19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164" fontId="1" fillId="0" borderId="0" xfId="44" applyNumberFormat="1" applyFont="1" applyBorder="1" applyAlignment="1">
      <alignment/>
    </xf>
    <xf numFmtId="164" fontId="0" fillId="0" borderId="0" xfId="44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4" fontId="2" fillId="0" borderId="0" xfId="44" applyNumberFormat="1" applyFont="1" applyBorder="1" applyAlignment="1">
      <alignment/>
    </xf>
    <xf numFmtId="0" fontId="0" fillId="0" borderId="0" xfId="0" applyAlignment="1">
      <alignment horizontal="center"/>
    </xf>
    <xf numFmtId="44" fontId="0" fillId="0" borderId="19" xfId="44" applyFont="1" applyBorder="1" applyAlignment="1">
      <alignment/>
    </xf>
    <xf numFmtId="164" fontId="1" fillId="0" borderId="25" xfId="44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6" fontId="1" fillId="0" borderId="19" xfId="44" applyNumberFormat="1" applyFont="1" applyBorder="1" applyAlignment="1">
      <alignment/>
    </xf>
    <xf numFmtId="6" fontId="0" fillId="0" borderId="0" xfId="0" applyNumberFormat="1" applyAlignment="1">
      <alignment/>
    </xf>
    <xf numFmtId="38" fontId="0" fillId="0" borderId="16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1" fillId="0" borderId="24" xfId="0" applyNumberFormat="1" applyFont="1" applyBorder="1" applyAlignment="1">
      <alignment/>
    </xf>
    <xf numFmtId="38" fontId="1" fillId="0" borderId="21" xfId="0" applyNumberFormat="1" applyFont="1" applyBorder="1" applyAlignment="1">
      <alignment/>
    </xf>
    <xf numFmtId="38" fontId="1" fillId="0" borderId="23" xfId="0" applyNumberFormat="1" applyFont="1" applyBorder="1" applyAlignment="1">
      <alignment/>
    </xf>
    <xf numFmtId="38" fontId="0" fillId="0" borderId="0" xfId="0" applyNumberFormat="1" applyAlignment="1">
      <alignment/>
    </xf>
    <xf numFmtId="164" fontId="1" fillId="0" borderId="0" xfId="44" applyNumberFormat="1" applyFont="1" applyBorder="1" applyAlignment="1">
      <alignment horizontal="center"/>
    </xf>
    <xf numFmtId="164" fontId="1" fillId="0" borderId="18" xfId="44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9" fontId="9" fillId="0" borderId="0" xfId="44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0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 applyProtection="1">
      <alignment horizontal="left"/>
      <protection/>
    </xf>
    <xf numFmtId="172" fontId="11" fillId="0" borderId="0" xfId="0" applyNumberFormat="1" applyFont="1" applyAlignment="1">
      <alignment horizontal="left"/>
    </xf>
    <xf numFmtId="171" fontId="11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64" fontId="11" fillId="0" borderId="0" xfId="44" applyNumberFormat="1" applyFont="1" applyAlignment="1">
      <alignment horizontal="left"/>
    </xf>
    <xf numFmtId="164" fontId="2" fillId="35" borderId="27" xfId="44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164" fontId="2" fillId="35" borderId="28" xfId="44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1" fillId="0" borderId="0" xfId="44" applyNumberFormat="1" applyFont="1" applyAlignment="1">
      <alignment horizontal="left"/>
    </xf>
    <xf numFmtId="164" fontId="1" fillId="0" borderId="0" xfId="0" applyNumberFormat="1" applyFont="1" applyAlignment="1">
      <alignment/>
    </xf>
    <xf numFmtId="0" fontId="1" fillId="0" borderId="29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17" xfId="0" applyFont="1" applyBorder="1" applyAlignment="1">
      <alignment horizontal="right"/>
    </xf>
    <xf numFmtId="164" fontId="16" fillId="0" borderId="0" xfId="0" applyNumberFormat="1" applyFont="1" applyAlignment="1">
      <alignment/>
    </xf>
    <xf numFmtId="44" fontId="0" fillId="0" borderId="19" xfId="0" applyNumberFormat="1" applyBorder="1" applyAlignment="1">
      <alignment/>
    </xf>
    <xf numFmtId="44" fontId="0" fillId="0" borderId="18" xfId="44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25" xfId="0" applyNumberFormat="1" applyFont="1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164" fontId="0" fillId="0" borderId="17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164" fontId="0" fillId="0" borderId="0" xfId="44" applyNumberFormat="1" applyFont="1" applyAlignment="1">
      <alignment/>
    </xf>
    <xf numFmtId="0" fontId="2" fillId="0" borderId="32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44" fontId="2" fillId="0" borderId="32" xfId="44" applyFont="1" applyBorder="1" applyAlignment="1" applyProtection="1">
      <alignment/>
      <protection locked="0"/>
    </xf>
    <xf numFmtId="37" fontId="2" fillId="0" borderId="32" xfId="44" applyNumberFormat="1" applyFont="1" applyBorder="1" applyAlignment="1" applyProtection="1">
      <alignment/>
      <protection locked="0"/>
    </xf>
    <xf numFmtId="44" fontId="2" fillId="0" borderId="33" xfId="44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44" fontId="2" fillId="0" borderId="34" xfId="44" applyFont="1" applyBorder="1" applyAlignment="1" applyProtection="1">
      <alignment/>
      <protection locked="0"/>
    </xf>
    <xf numFmtId="44" fontId="2" fillId="0" borderId="27" xfId="44" applyFont="1" applyBorder="1" applyAlignment="1" applyProtection="1">
      <alignment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164" fontId="2" fillId="0" borderId="27" xfId="44" applyNumberFormat="1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right"/>
      <protection locked="0"/>
    </xf>
    <xf numFmtId="164" fontId="2" fillId="0" borderId="35" xfId="44" applyNumberFormat="1" applyFont="1" applyBorder="1" applyAlignment="1" applyProtection="1">
      <alignment/>
      <protection locked="0"/>
    </xf>
    <xf numFmtId="164" fontId="2" fillId="0" borderId="36" xfId="44" applyNumberFormat="1" applyFont="1" applyBorder="1" applyAlignment="1" applyProtection="1">
      <alignment/>
      <protection locked="0"/>
    </xf>
    <xf numFmtId="164" fontId="2" fillId="0" borderId="37" xfId="44" applyNumberFormat="1" applyFont="1" applyBorder="1" applyAlignment="1" applyProtection="1">
      <alignment/>
      <protection locked="0"/>
    </xf>
    <xf numFmtId="164" fontId="2" fillId="0" borderId="38" xfId="44" applyNumberFormat="1" applyFont="1" applyBorder="1" applyAlignment="1" applyProtection="1">
      <alignment/>
      <protection locked="0"/>
    </xf>
    <xf numFmtId="164" fontId="2" fillId="0" borderId="34" xfId="44" applyNumberFormat="1" applyFont="1" applyBorder="1" applyAlignment="1" applyProtection="1">
      <alignment/>
      <protection locked="0"/>
    </xf>
    <xf numFmtId="164" fontId="2" fillId="0" borderId="14" xfId="44" applyNumberFormat="1" applyFont="1" applyBorder="1" applyAlignment="1" applyProtection="1">
      <alignment/>
      <protection locked="0"/>
    </xf>
    <xf numFmtId="37" fontId="2" fillId="0" borderId="27" xfId="44" applyNumberFormat="1" applyFont="1" applyBorder="1" applyAlignment="1" applyProtection="1">
      <alignment horizontal="center"/>
      <protection locked="0"/>
    </xf>
    <xf numFmtId="39" fontId="2" fillId="0" borderId="27" xfId="44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7" fillId="0" borderId="26" xfId="0" applyFont="1" applyBorder="1" applyAlignment="1">
      <alignment/>
    </xf>
    <xf numFmtId="164" fontId="18" fillId="0" borderId="17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6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0" fontId="1" fillId="0" borderId="27" xfId="44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/>
    </xf>
    <xf numFmtId="0" fontId="19" fillId="0" borderId="0" xfId="0" applyFont="1" applyAlignment="1">
      <alignment horizontal="right"/>
    </xf>
    <xf numFmtId="5" fontId="2" fillId="0" borderId="27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64" fontId="2" fillId="35" borderId="36" xfId="44" applyNumberFormat="1" applyFont="1" applyFill="1" applyBorder="1" applyAlignment="1">
      <alignment/>
    </xf>
    <xf numFmtId="0" fontId="1" fillId="0" borderId="35" xfId="44" applyNumberFormat="1" applyFont="1" applyBorder="1" applyAlignment="1" applyProtection="1">
      <alignment horizontal="left"/>
      <protection locked="0"/>
    </xf>
    <xf numFmtId="1" fontId="20" fillId="0" borderId="0" xfId="0" applyNumberFormat="1" applyFont="1" applyBorder="1" applyAlignment="1">
      <alignment/>
    </xf>
    <xf numFmtId="1" fontId="20" fillId="0" borderId="25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5" xfId="0" applyFont="1" applyBorder="1" applyAlignment="1">
      <alignment/>
    </xf>
    <xf numFmtId="1" fontId="20" fillId="0" borderId="26" xfId="0" applyNumberFormat="1" applyFont="1" applyBorder="1" applyAlignment="1">
      <alignment/>
    </xf>
    <xf numFmtId="1" fontId="20" fillId="0" borderId="22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164" fontId="21" fillId="0" borderId="27" xfId="44" applyNumberFormat="1" applyFont="1" applyBorder="1" applyAlignment="1" applyProtection="1">
      <alignment/>
      <protection locked="0"/>
    </xf>
    <xf numFmtId="171" fontId="20" fillId="0" borderId="0" xfId="0" applyNumberFormat="1" applyFont="1" applyBorder="1" applyAlignment="1">
      <alignment/>
    </xf>
    <xf numFmtId="171" fontId="20" fillId="0" borderId="25" xfId="0" applyNumberFormat="1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2" xfId="0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2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16" xfId="0" applyBorder="1" applyAlignment="1">
      <alignment horizontal="left"/>
    </xf>
    <xf numFmtId="0" fontId="23" fillId="0" borderId="0" xfId="0" applyFont="1" applyAlignment="1">
      <alignment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2" xfId="58" applyNumberFormat="1" applyFont="1" applyBorder="1" applyAlignment="1" applyProtection="1">
      <alignment/>
      <protection locked="0"/>
    </xf>
    <xf numFmtId="164" fontId="2" fillId="0" borderId="27" xfId="0" applyNumberFormat="1" applyFont="1" applyBorder="1" applyAlignment="1" applyProtection="1">
      <alignment/>
      <protection locked="0"/>
    </xf>
    <xf numFmtId="3" fontId="1" fillId="0" borderId="19" xfId="44" applyNumberFormat="1" applyFont="1" applyBorder="1" applyAlignment="1">
      <alignment/>
    </xf>
    <xf numFmtId="37" fontId="21" fillId="0" borderId="27" xfId="44" applyNumberFormat="1" applyFont="1" applyBorder="1" applyAlignment="1" applyProtection="1">
      <alignment horizontal="center"/>
      <protection locked="0"/>
    </xf>
    <xf numFmtId="38" fontId="21" fillId="0" borderId="27" xfId="44" applyNumberFormat="1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2" fillId="0" borderId="0" xfId="52" applyAlignment="1">
      <alignment/>
    </xf>
    <xf numFmtId="0" fontId="60" fillId="0" borderId="0" xfId="0" applyFont="1" applyBorder="1" applyAlignment="1">
      <alignment/>
    </xf>
    <xf numFmtId="0" fontId="1" fillId="0" borderId="0" xfId="0" applyFont="1" applyAlignment="1">
      <alignment wrapText="1"/>
    </xf>
    <xf numFmtId="185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orest@msu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2"/>
  <sheetViews>
    <sheetView showGridLines="0" tabSelected="1" zoomScalePageLayoutView="0" workbookViewId="0" topLeftCell="A1">
      <selection activeCell="I14" sqref="I14"/>
    </sheetView>
  </sheetViews>
  <sheetFormatPr defaultColWidth="9.140625" defaultRowHeight="12.75"/>
  <cols>
    <col min="1" max="1" width="2.8515625" style="1" customWidth="1"/>
    <col min="2" max="2" width="3.28125" style="0" customWidth="1"/>
    <col min="3" max="3" width="3.140625" style="0" customWidth="1"/>
    <col min="4" max="4" width="28.140625" style="0" customWidth="1"/>
    <col min="9" max="9" width="19.140625" style="0" customWidth="1"/>
    <col min="10" max="10" width="2.7109375" style="54" customWidth="1"/>
    <col min="11" max="11" width="2.28125" style="0" customWidth="1"/>
    <col min="12" max="12" width="1.8515625" style="0" customWidth="1"/>
    <col min="13" max="13" width="34.00390625" style="0" customWidth="1"/>
    <col min="18" max="18" width="14.140625" style="0" customWidth="1"/>
    <col min="19" max="19" width="2.57421875" style="0" customWidth="1"/>
    <col min="20" max="20" width="2.421875" style="0" customWidth="1"/>
    <col min="21" max="21" width="2.00390625" style="0" customWidth="1"/>
    <col min="30" max="30" width="14.8515625" style="0" customWidth="1"/>
    <col min="31" max="31" width="1.8515625" style="74" customWidth="1"/>
    <col min="32" max="32" width="2.57421875" style="0" customWidth="1"/>
    <col min="33" max="33" width="1.8515625" style="0" customWidth="1"/>
    <col min="37" max="37" width="7.57421875" style="0" customWidth="1"/>
    <col min="38" max="38" width="8.140625" style="0" customWidth="1"/>
    <col min="41" max="41" width="25.421875" style="0" customWidth="1"/>
    <col min="42" max="42" width="16.421875" style="0" customWidth="1"/>
  </cols>
  <sheetData>
    <row r="1" spans="5:38" ht="15.75">
      <c r="E1" s="70" t="s">
        <v>288</v>
      </c>
      <c r="J1" s="76"/>
      <c r="K1" s="5"/>
      <c r="L1" s="5"/>
      <c r="M1" s="5"/>
      <c r="N1" s="15" t="s">
        <v>112</v>
      </c>
      <c r="O1" s="5"/>
      <c r="P1" s="5"/>
      <c r="Q1" s="5"/>
      <c r="R1" s="6"/>
      <c r="Z1" s="2" t="s">
        <v>257</v>
      </c>
      <c r="AL1" s="2" t="s">
        <v>257</v>
      </c>
    </row>
    <row r="2" spans="5:19" ht="12.75">
      <c r="E2" s="47" t="s">
        <v>349</v>
      </c>
      <c r="I2" t="s">
        <v>427</v>
      </c>
      <c r="J2" s="40" t="s">
        <v>113</v>
      </c>
      <c r="K2" s="18"/>
      <c r="L2" s="18"/>
      <c r="M2" s="18"/>
      <c r="N2" s="18"/>
      <c r="O2" s="18"/>
      <c r="P2" s="18"/>
      <c r="Q2" s="18"/>
      <c r="R2" s="38"/>
      <c r="S2" s="183" t="s">
        <v>119</v>
      </c>
    </row>
    <row r="3" spans="5:31" ht="12.75">
      <c r="E3" s="47" t="s">
        <v>350</v>
      </c>
      <c r="I3" s="198">
        <v>41184</v>
      </c>
      <c r="J3" s="40"/>
      <c r="K3" s="18" t="s">
        <v>114</v>
      </c>
      <c r="L3" s="18"/>
      <c r="M3" s="18"/>
      <c r="N3" s="18"/>
      <c r="O3" s="18"/>
      <c r="P3" s="18"/>
      <c r="Q3" s="18"/>
      <c r="R3" s="38"/>
      <c r="S3" t="s">
        <v>153</v>
      </c>
      <c r="AE3" s="74" t="s">
        <v>128</v>
      </c>
    </row>
    <row r="4" spans="5:32" ht="12.75">
      <c r="E4" s="47"/>
      <c r="J4" s="40"/>
      <c r="K4" s="18" t="s">
        <v>125</v>
      </c>
      <c r="L4" s="18"/>
      <c r="M4" s="18"/>
      <c r="N4" s="18"/>
      <c r="O4" s="18"/>
      <c r="P4" s="18"/>
      <c r="Q4" s="18"/>
      <c r="R4" s="38"/>
      <c r="S4" s="164" t="s">
        <v>313</v>
      </c>
      <c r="AF4" t="s">
        <v>259</v>
      </c>
    </row>
    <row r="5" spans="5:33" ht="12.75">
      <c r="E5" s="47" t="s">
        <v>78</v>
      </c>
      <c r="I5" t="s">
        <v>428</v>
      </c>
      <c r="J5" s="40"/>
      <c r="K5" s="18" t="s">
        <v>146</v>
      </c>
      <c r="L5" s="18"/>
      <c r="M5" s="18"/>
      <c r="N5" s="18"/>
      <c r="O5" s="18"/>
      <c r="P5" s="18"/>
      <c r="Q5" s="18"/>
      <c r="R5" s="38"/>
      <c r="S5" s="74" t="s">
        <v>87</v>
      </c>
      <c r="T5" t="s">
        <v>154</v>
      </c>
      <c r="AG5" t="s">
        <v>260</v>
      </c>
    </row>
    <row r="6" spans="5:32" ht="12.75">
      <c r="E6" s="47" t="s">
        <v>79</v>
      </c>
      <c r="I6" t="s">
        <v>429</v>
      </c>
      <c r="J6" s="40"/>
      <c r="K6" s="18" t="s">
        <v>147</v>
      </c>
      <c r="L6" s="18"/>
      <c r="M6" s="18"/>
      <c r="N6" s="18"/>
      <c r="O6" s="18"/>
      <c r="P6" s="18"/>
      <c r="Q6" s="18"/>
      <c r="R6" s="38"/>
      <c r="T6" t="s">
        <v>155</v>
      </c>
      <c r="AF6" t="s">
        <v>299</v>
      </c>
    </row>
    <row r="7" spans="5:20" ht="12.75">
      <c r="E7" s="69" t="s">
        <v>80</v>
      </c>
      <c r="I7" t="s">
        <v>430</v>
      </c>
      <c r="J7" s="40"/>
      <c r="K7" s="18"/>
      <c r="L7" s="18"/>
      <c r="M7" s="18"/>
      <c r="N7" s="18"/>
      <c r="O7" s="18"/>
      <c r="P7" s="18"/>
      <c r="Q7" s="18"/>
      <c r="R7" s="38"/>
      <c r="S7" s="74"/>
      <c r="T7" t="s">
        <v>242</v>
      </c>
    </row>
    <row r="8" spans="5:31" ht="12.75">
      <c r="E8" s="47" t="s">
        <v>330</v>
      </c>
      <c r="I8" s="195" t="s">
        <v>431</v>
      </c>
      <c r="J8" s="40" t="s">
        <v>115</v>
      </c>
      <c r="K8" s="18"/>
      <c r="L8" s="18"/>
      <c r="M8" s="18"/>
      <c r="N8" s="18"/>
      <c r="O8" s="18"/>
      <c r="P8" s="18"/>
      <c r="Q8" s="18"/>
      <c r="R8" s="38"/>
      <c r="S8" s="74" t="s">
        <v>87</v>
      </c>
      <c r="T8" t="s">
        <v>156</v>
      </c>
      <c r="AE8" s="73" t="s">
        <v>433</v>
      </c>
    </row>
    <row r="9" spans="1:20" ht="12.75">
      <c r="A9" s="24" t="s">
        <v>81</v>
      </c>
      <c r="B9" s="5"/>
      <c r="C9" s="5"/>
      <c r="D9" s="5"/>
      <c r="E9" s="5"/>
      <c r="F9" s="5"/>
      <c r="G9" s="5"/>
      <c r="H9" s="5"/>
      <c r="I9" s="6"/>
      <c r="J9" s="40"/>
      <c r="K9" s="74" t="s">
        <v>116</v>
      </c>
      <c r="L9" s="18"/>
      <c r="M9" s="18"/>
      <c r="N9" s="18"/>
      <c r="O9" s="18"/>
      <c r="P9" s="18"/>
      <c r="Q9" s="18"/>
      <c r="R9" s="38"/>
      <c r="S9" s="74"/>
      <c r="T9" t="s">
        <v>158</v>
      </c>
    </row>
    <row r="10" spans="1:32" ht="12.75">
      <c r="A10" s="71"/>
      <c r="B10" s="18" t="s">
        <v>289</v>
      </c>
      <c r="C10" s="18"/>
      <c r="D10" s="18"/>
      <c r="E10" s="18"/>
      <c r="F10" s="18"/>
      <c r="G10" s="18"/>
      <c r="H10" s="18"/>
      <c r="I10" s="38"/>
      <c r="J10" s="40"/>
      <c r="K10" s="74"/>
      <c r="L10" s="18" t="s">
        <v>117</v>
      </c>
      <c r="M10" s="18"/>
      <c r="N10" s="18"/>
      <c r="O10" s="18"/>
      <c r="P10" s="18"/>
      <c r="Q10" s="18"/>
      <c r="R10" s="38"/>
      <c r="S10" s="74"/>
      <c r="T10" t="s">
        <v>157</v>
      </c>
      <c r="AF10" t="s">
        <v>362</v>
      </c>
    </row>
    <row r="11" spans="1:33" ht="12.75">
      <c r="A11" s="71"/>
      <c r="B11" s="18"/>
      <c r="C11" s="18"/>
      <c r="D11" s="18"/>
      <c r="E11" s="18"/>
      <c r="F11" s="18"/>
      <c r="G11" s="18"/>
      <c r="H11" s="18"/>
      <c r="I11" s="38"/>
      <c r="J11" s="40"/>
      <c r="K11" s="74"/>
      <c r="L11" s="18"/>
      <c r="M11" s="18"/>
      <c r="N11" s="18"/>
      <c r="O11" s="18"/>
      <c r="P11" s="18"/>
      <c r="Q11" s="18"/>
      <c r="R11" s="38"/>
      <c r="S11" s="74" t="s">
        <v>87</v>
      </c>
      <c r="T11" t="s">
        <v>279</v>
      </c>
      <c r="AG11" t="s">
        <v>363</v>
      </c>
    </row>
    <row r="12" spans="1:34" ht="12.75">
      <c r="A12" s="71" t="s">
        <v>82</v>
      </c>
      <c r="B12" s="18"/>
      <c r="C12" s="18"/>
      <c r="D12" s="18"/>
      <c r="E12" s="18"/>
      <c r="F12" s="18"/>
      <c r="G12" s="18"/>
      <c r="H12" s="18"/>
      <c r="I12" s="38"/>
      <c r="J12" s="40"/>
      <c r="K12" s="74" t="s">
        <v>118</v>
      </c>
      <c r="L12" s="18"/>
      <c r="M12" s="18"/>
      <c r="N12" s="18"/>
      <c r="O12" s="18"/>
      <c r="P12" s="18"/>
      <c r="Q12" s="18"/>
      <c r="R12" s="38"/>
      <c r="S12" s="74" t="s">
        <v>87</v>
      </c>
      <c r="T12" t="s">
        <v>314</v>
      </c>
      <c r="AH12" t="s">
        <v>261</v>
      </c>
    </row>
    <row r="13" spans="1:34" ht="12.75">
      <c r="A13" s="71"/>
      <c r="B13" s="18" t="s">
        <v>290</v>
      </c>
      <c r="C13" s="18"/>
      <c r="D13" s="18"/>
      <c r="E13" s="18"/>
      <c r="F13" s="18"/>
      <c r="G13" s="18"/>
      <c r="H13" s="18"/>
      <c r="I13" s="38"/>
      <c r="J13" s="40"/>
      <c r="K13" s="74"/>
      <c r="L13" s="18" t="s">
        <v>351</v>
      </c>
      <c r="M13" s="18"/>
      <c r="N13" s="18"/>
      <c r="O13" s="18"/>
      <c r="P13" s="18"/>
      <c r="Q13" s="18"/>
      <c r="R13" s="38"/>
      <c r="S13" s="74"/>
      <c r="T13" s="152" t="s">
        <v>315</v>
      </c>
      <c r="AH13" t="s">
        <v>262</v>
      </c>
    </row>
    <row r="14" spans="1:34" ht="12.75">
      <c r="A14" s="71"/>
      <c r="B14" s="18"/>
      <c r="C14" s="74" t="s">
        <v>83</v>
      </c>
      <c r="D14" s="18"/>
      <c r="E14" s="18"/>
      <c r="F14" s="18"/>
      <c r="G14" s="18"/>
      <c r="H14" s="18"/>
      <c r="I14" s="38"/>
      <c r="J14" s="40"/>
      <c r="K14" s="74"/>
      <c r="L14" s="18"/>
      <c r="M14" s="18"/>
      <c r="N14" s="18"/>
      <c r="O14" s="18"/>
      <c r="P14" s="18"/>
      <c r="Q14" s="18"/>
      <c r="R14" s="38"/>
      <c r="S14" s="74"/>
      <c r="T14" s="152" t="s">
        <v>316</v>
      </c>
      <c r="AH14" t="s">
        <v>304</v>
      </c>
    </row>
    <row r="15" spans="1:34" ht="12.75">
      <c r="A15" s="71"/>
      <c r="B15" s="18"/>
      <c r="C15" s="75" t="s">
        <v>87</v>
      </c>
      <c r="D15" s="18" t="s">
        <v>85</v>
      </c>
      <c r="E15" s="18"/>
      <c r="F15" s="18"/>
      <c r="G15" s="18"/>
      <c r="H15" s="18"/>
      <c r="I15" s="38"/>
      <c r="J15" s="40"/>
      <c r="K15" s="74" t="s">
        <v>119</v>
      </c>
      <c r="L15" s="18"/>
      <c r="M15" s="18"/>
      <c r="N15" s="18"/>
      <c r="O15" s="18"/>
      <c r="P15" s="18"/>
      <c r="Q15" s="18"/>
      <c r="R15" s="38"/>
      <c r="S15" s="74" t="s">
        <v>87</v>
      </c>
      <c r="T15" t="s">
        <v>164</v>
      </c>
      <c r="AH15" t="s">
        <v>305</v>
      </c>
    </row>
    <row r="16" spans="1:21" ht="12.75">
      <c r="A16" s="71"/>
      <c r="B16" s="18"/>
      <c r="C16" s="74"/>
      <c r="D16" s="18" t="s">
        <v>86</v>
      </c>
      <c r="E16" s="18"/>
      <c r="F16" s="18"/>
      <c r="G16" s="18"/>
      <c r="H16" s="18"/>
      <c r="I16" s="38"/>
      <c r="J16" s="40"/>
      <c r="K16" s="74"/>
      <c r="L16" s="18" t="s">
        <v>120</v>
      </c>
      <c r="M16" s="18"/>
      <c r="N16" s="18"/>
      <c r="O16" s="18"/>
      <c r="P16" s="18"/>
      <c r="Q16" s="18"/>
      <c r="R16" s="38"/>
      <c r="S16" s="74"/>
      <c r="U16" t="s">
        <v>317</v>
      </c>
    </row>
    <row r="17" spans="1:20" ht="12.75">
      <c r="A17" s="71"/>
      <c r="B17" s="18"/>
      <c r="C17" s="75" t="s">
        <v>87</v>
      </c>
      <c r="D17" s="18" t="s">
        <v>88</v>
      </c>
      <c r="E17" s="18"/>
      <c r="F17" s="18"/>
      <c r="G17" s="18"/>
      <c r="H17" s="18"/>
      <c r="I17" s="38"/>
      <c r="J17" s="40"/>
      <c r="K17" s="74"/>
      <c r="L17" s="18" t="s">
        <v>121</v>
      </c>
      <c r="M17" s="18"/>
      <c r="N17" s="18"/>
      <c r="O17" s="18"/>
      <c r="P17" s="18"/>
      <c r="Q17" s="18"/>
      <c r="R17" s="38"/>
      <c r="S17" s="74" t="s">
        <v>87</v>
      </c>
      <c r="T17" t="s">
        <v>354</v>
      </c>
    </row>
    <row r="18" spans="1:21" ht="12.75">
      <c r="A18" s="71"/>
      <c r="B18" s="18"/>
      <c r="C18" s="75" t="s">
        <v>87</v>
      </c>
      <c r="D18" s="18" t="s">
        <v>89</v>
      </c>
      <c r="E18" s="18"/>
      <c r="F18" s="18"/>
      <c r="G18" s="18"/>
      <c r="H18" s="18"/>
      <c r="I18" s="38"/>
      <c r="J18" s="40"/>
      <c r="K18" s="74"/>
      <c r="L18" s="18" t="s">
        <v>122</v>
      </c>
      <c r="M18" s="18"/>
      <c r="N18" s="18"/>
      <c r="O18" s="18"/>
      <c r="P18" s="18"/>
      <c r="Q18" s="18"/>
      <c r="R18" s="38"/>
      <c r="S18" s="74"/>
      <c r="U18" t="s">
        <v>159</v>
      </c>
    </row>
    <row r="19" spans="1:19" ht="12.75">
      <c r="A19" s="71"/>
      <c r="B19" s="18"/>
      <c r="C19" s="74" t="s">
        <v>84</v>
      </c>
      <c r="D19" s="18"/>
      <c r="E19" s="18"/>
      <c r="F19" s="18"/>
      <c r="G19" s="18"/>
      <c r="H19" s="18"/>
      <c r="I19" s="38"/>
      <c r="J19" s="40"/>
      <c r="K19" s="74"/>
      <c r="L19" s="18"/>
      <c r="M19" s="18" t="s">
        <v>123</v>
      </c>
      <c r="N19" s="18"/>
      <c r="O19" s="18"/>
      <c r="P19" s="18"/>
      <c r="Q19" s="18"/>
      <c r="R19" s="38"/>
      <c r="S19" s="183" t="s">
        <v>101</v>
      </c>
    </row>
    <row r="20" spans="1:20" ht="12.75">
      <c r="A20" s="71"/>
      <c r="B20" s="18"/>
      <c r="C20" s="75" t="s">
        <v>87</v>
      </c>
      <c r="D20" s="18" t="s">
        <v>93</v>
      </c>
      <c r="E20" s="18"/>
      <c r="F20" s="18"/>
      <c r="G20" s="18"/>
      <c r="H20" s="18"/>
      <c r="I20" s="38"/>
      <c r="J20" s="40"/>
      <c r="K20" s="74"/>
      <c r="L20" s="18"/>
      <c r="M20" s="18" t="s">
        <v>124</v>
      </c>
      <c r="N20" s="18"/>
      <c r="O20" s="18"/>
      <c r="P20" s="18"/>
      <c r="Q20" s="18"/>
      <c r="R20" s="38"/>
      <c r="S20" s="18"/>
      <c r="T20" t="s">
        <v>280</v>
      </c>
    </row>
    <row r="21" spans="1:34" ht="12.75">
      <c r="A21" s="71"/>
      <c r="B21" s="18"/>
      <c r="C21" s="75" t="s">
        <v>87</v>
      </c>
      <c r="D21" s="18" t="s">
        <v>142</v>
      </c>
      <c r="E21" s="18"/>
      <c r="F21" s="18"/>
      <c r="G21" s="18"/>
      <c r="H21" s="18"/>
      <c r="I21" s="38"/>
      <c r="J21" s="40"/>
      <c r="K21" s="74"/>
      <c r="L21" s="18"/>
      <c r="M21" s="18"/>
      <c r="N21" s="18"/>
      <c r="O21" s="18"/>
      <c r="P21" s="18"/>
      <c r="Q21" s="18"/>
      <c r="R21" s="38"/>
      <c r="S21" s="18"/>
      <c r="T21" t="s">
        <v>303</v>
      </c>
      <c r="AH21" s="18"/>
    </row>
    <row r="22" spans="1:38" ht="12.75">
      <c r="A22" s="72" t="s">
        <v>90</v>
      </c>
      <c r="B22" s="73"/>
      <c r="C22" s="74"/>
      <c r="D22" s="73"/>
      <c r="E22" s="18"/>
      <c r="F22" s="18"/>
      <c r="G22" s="18"/>
      <c r="H22" s="18"/>
      <c r="I22" s="38"/>
      <c r="J22" s="40"/>
      <c r="K22" s="74" t="s">
        <v>101</v>
      </c>
      <c r="L22" s="18"/>
      <c r="M22" s="18"/>
      <c r="N22" s="18"/>
      <c r="O22" s="18"/>
      <c r="P22" s="18"/>
      <c r="Q22" s="18"/>
      <c r="R22" s="38"/>
      <c r="T22" t="s">
        <v>318</v>
      </c>
      <c r="AL22" s="2" t="s">
        <v>258</v>
      </c>
    </row>
    <row r="23" spans="1:38" ht="12.75">
      <c r="A23" s="72"/>
      <c r="B23" s="73" t="s">
        <v>94</v>
      </c>
      <c r="C23" s="74"/>
      <c r="D23" s="73"/>
      <c r="E23" s="18"/>
      <c r="F23" s="18"/>
      <c r="G23" s="18"/>
      <c r="H23" s="18"/>
      <c r="I23" s="38"/>
      <c r="J23" s="40"/>
      <c r="K23" s="18"/>
      <c r="L23" s="18" t="s">
        <v>300</v>
      </c>
      <c r="M23" s="18"/>
      <c r="N23" s="18"/>
      <c r="O23" s="18"/>
      <c r="P23" s="18"/>
      <c r="Q23" s="18"/>
      <c r="R23" s="38"/>
      <c r="T23" t="s">
        <v>243</v>
      </c>
      <c r="AL23" s="2"/>
    </row>
    <row r="24" spans="1:38" ht="12.75">
      <c r="A24" s="72"/>
      <c r="B24" s="73" t="s">
        <v>287</v>
      </c>
      <c r="C24" s="74"/>
      <c r="D24" s="73"/>
      <c r="E24" s="18"/>
      <c r="F24" s="18"/>
      <c r="G24" s="18"/>
      <c r="H24" s="18"/>
      <c r="I24" s="38"/>
      <c r="J24" s="40"/>
      <c r="K24" s="18"/>
      <c r="L24" s="18" t="s">
        <v>301</v>
      </c>
      <c r="M24" s="18"/>
      <c r="N24" s="18"/>
      <c r="O24" s="18"/>
      <c r="P24" s="18"/>
      <c r="Q24" s="18"/>
      <c r="R24" s="38"/>
      <c r="T24" t="s">
        <v>244</v>
      </c>
      <c r="AL24" s="2" t="s">
        <v>286</v>
      </c>
    </row>
    <row r="25" spans="1:37" ht="12.75">
      <c r="A25" s="72"/>
      <c r="B25" s="73" t="s">
        <v>131</v>
      </c>
      <c r="C25" s="74"/>
      <c r="D25" s="73"/>
      <c r="E25" s="18"/>
      <c r="F25" s="18"/>
      <c r="G25" s="18"/>
      <c r="H25" s="18"/>
      <c r="I25" s="38"/>
      <c r="J25" s="40"/>
      <c r="K25" s="18"/>
      <c r="L25" s="18"/>
      <c r="M25" s="18"/>
      <c r="N25" s="18"/>
      <c r="O25" s="18"/>
      <c r="P25" s="18"/>
      <c r="Q25" s="18"/>
      <c r="R25" s="38"/>
      <c r="AK25" s="2"/>
    </row>
    <row r="26" spans="1:31" ht="12.75">
      <c r="A26" s="71"/>
      <c r="B26" s="18"/>
      <c r="C26" s="73" t="s">
        <v>92</v>
      </c>
      <c r="D26" s="18"/>
      <c r="E26" s="18"/>
      <c r="F26" s="18"/>
      <c r="G26" s="18"/>
      <c r="H26" s="18"/>
      <c r="I26" s="38"/>
      <c r="J26" s="40"/>
      <c r="K26" s="74" t="s">
        <v>126</v>
      </c>
      <c r="L26" s="18"/>
      <c r="M26" s="18"/>
      <c r="N26" s="18"/>
      <c r="O26" s="18"/>
      <c r="P26" s="18"/>
      <c r="Q26" s="18"/>
      <c r="R26" s="38"/>
      <c r="T26" t="s">
        <v>165</v>
      </c>
      <c r="AE26" s="74" t="s">
        <v>364</v>
      </c>
    </row>
    <row r="27" spans="1:32" ht="12.75">
      <c r="A27" s="71"/>
      <c r="B27" s="18"/>
      <c r="C27" s="74"/>
      <c r="D27" s="18"/>
      <c r="E27" s="18"/>
      <c r="F27" s="18"/>
      <c r="G27" s="18"/>
      <c r="H27" s="18"/>
      <c r="I27" s="38"/>
      <c r="J27" s="40"/>
      <c r="K27" s="18"/>
      <c r="L27" s="18" t="s">
        <v>127</v>
      </c>
      <c r="M27" s="18"/>
      <c r="N27" s="18"/>
      <c r="O27" s="18"/>
      <c r="P27" s="18"/>
      <c r="Q27" s="18"/>
      <c r="R27" s="38"/>
      <c r="T27" t="s">
        <v>166</v>
      </c>
      <c r="AF27" t="s">
        <v>265</v>
      </c>
    </row>
    <row r="28" spans="1:33" ht="12.75">
      <c r="A28" s="71" t="s">
        <v>95</v>
      </c>
      <c r="B28" s="18"/>
      <c r="C28" s="74"/>
      <c r="D28" s="18"/>
      <c r="E28" s="18"/>
      <c r="F28" s="18"/>
      <c r="G28" s="18"/>
      <c r="H28" s="18"/>
      <c r="I28" s="38"/>
      <c r="J28" s="40"/>
      <c r="K28" s="18"/>
      <c r="L28" s="18"/>
      <c r="M28" s="18"/>
      <c r="N28" s="18"/>
      <c r="O28" s="18"/>
      <c r="P28" s="18"/>
      <c r="Q28" s="18"/>
      <c r="R28" s="38"/>
      <c r="T28" t="s">
        <v>167</v>
      </c>
      <c r="AG28" t="s">
        <v>266</v>
      </c>
    </row>
    <row r="29" spans="1:33" ht="12.75">
      <c r="A29" s="71"/>
      <c r="B29" s="18" t="s">
        <v>104</v>
      </c>
      <c r="C29" s="74"/>
      <c r="D29" s="18"/>
      <c r="E29" s="18"/>
      <c r="F29" s="18"/>
      <c r="G29" s="18"/>
      <c r="H29" s="18"/>
      <c r="I29" s="38"/>
      <c r="J29" s="40"/>
      <c r="K29" s="74" t="s">
        <v>128</v>
      </c>
      <c r="L29" s="18"/>
      <c r="M29" s="18"/>
      <c r="N29" s="18"/>
      <c r="O29" s="18"/>
      <c r="P29" s="18"/>
      <c r="Q29" s="18"/>
      <c r="R29" s="38"/>
      <c r="AG29" t="s">
        <v>365</v>
      </c>
    </row>
    <row r="30" spans="1:32" ht="12.75">
      <c r="A30" s="71"/>
      <c r="B30" s="18" t="s">
        <v>105</v>
      </c>
      <c r="C30" s="74"/>
      <c r="D30" s="18"/>
      <c r="E30" s="18"/>
      <c r="F30" s="18"/>
      <c r="G30" s="18"/>
      <c r="H30" s="18"/>
      <c r="I30" s="38"/>
      <c r="J30" s="40"/>
      <c r="K30" s="74"/>
      <c r="L30" s="18" t="s">
        <v>129</v>
      </c>
      <c r="M30" s="18"/>
      <c r="N30" s="18"/>
      <c r="O30" s="18"/>
      <c r="P30" s="18"/>
      <c r="Q30" s="18"/>
      <c r="R30" s="38"/>
      <c r="T30" t="s">
        <v>319</v>
      </c>
      <c r="AF30" t="s">
        <v>267</v>
      </c>
    </row>
    <row r="31" spans="1:22" ht="12.75">
      <c r="A31" s="71"/>
      <c r="B31" s="18"/>
      <c r="C31" s="74" t="s">
        <v>96</v>
      </c>
      <c r="D31" s="18"/>
      <c r="E31" s="18"/>
      <c r="F31" s="18"/>
      <c r="G31" s="18"/>
      <c r="H31" s="18"/>
      <c r="I31" s="38"/>
      <c r="J31" s="40"/>
      <c r="K31" s="74"/>
      <c r="L31" s="18" t="s">
        <v>237</v>
      </c>
      <c r="M31" s="18"/>
      <c r="N31" s="18"/>
      <c r="O31" s="18"/>
      <c r="P31" s="18"/>
      <c r="Q31" s="18"/>
      <c r="R31" s="38"/>
      <c r="V31" t="s">
        <v>168</v>
      </c>
    </row>
    <row r="32" spans="1:31" ht="12.75">
      <c r="A32" s="71"/>
      <c r="B32" s="18"/>
      <c r="C32" s="74"/>
      <c r="D32" s="18" t="s">
        <v>99</v>
      </c>
      <c r="E32" s="18"/>
      <c r="F32" s="18"/>
      <c r="G32" s="18"/>
      <c r="H32" s="18"/>
      <c r="I32" s="38"/>
      <c r="J32" s="77"/>
      <c r="K32" s="153"/>
      <c r="L32" s="42" t="s">
        <v>130</v>
      </c>
      <c r="M32" s="42"/>
      <c r="N32" s="42"/>
      <c r="O32" s="42"/>
      <c r="P32" s="42"/>
      <c r="Q32" s="42"/>
      <c r="R32" s="43"/>
      <c r="T32" t="s">
        <v>169</v>
      </c>
      <c r="AE32" s="74" t="s">
        <v>366</v>
      </c>
    </row>
    <row r="33" spans="1:32" ht="12.75">
      <c r="A33" s="71"/>
      <c r="B33" s="18"/>
      <c r="C33" s="74"/>
      <c r="D33" s="18" t="s">
        <v>100</v>
      </c>
      <c r="E33" s="18"/>
      <c r="F33" s="18"/>
      <c r="G33" s="18"/>
      <c r="H33" s="18"/>
      <c r="I33" s="38"/>
      <c r="J33" s="152"/>
      <c r="K33" s="18"/>
      <c r="L33" s="18"/>
      <c r="M33" s="18"/>
      <c r="N33" s="18"/>
      <c r="O33" s="18"/>
      <c r="P33" s="18"/>
      <c r="Q33" s="18"/>
      <c r="R33" s="18"/>
      <c r="V33" t="s">
        <v>355</v>
      </c>
      <c r="AF33" t="s">
        <v>367</v>
      </c>
    </row>
    <row r="34" spans="1:19" ht="12.75">
      <c r="A34" s="71"/>
      <c r="B34" s="18"/>
      <c r="C34" s="74"/>
      <c r="D34" s="18" t="s">
        <v>106</v>
      </c>
      <c r="E34" s="18"/>
      <c r="F34" s="18"/>
      <c r="G34" s="18"/>
      <c r="H34" s="18"/>
      <c r="I34" s="38"/>
      <c r="N34" s="2" t="s">
        <v>132</v>
      </c>
      <c r="S34" s="183" t="s">
        <v>126</v>
      </c>
    </row>
    <row r="35" spans="1:31" ht="12.75">
      <c r="A35" s="71"/>
      <c r="B35" s="18"/>
      <c r="C35" s="74"/>
      <c r="D35" s="18" t="s">
        <v>107</v>
      </c>
      <c r="E35" s="18"/>
      <c r="F35" s="18"/>
      <c r="G35" s="18"/>
      <c r="H35" s="18"/>
      <c r="I35" s="38"/>
      <c r="J35" s="74" t="s">
        <v>118</v>
      </c>
      <c r="T35" t="s">
        <v>323</v>
      </c>
      <c r="AE35" s="74" t="s">
        <v>368</v>
      </c>
    </row>
    <row r="36" spans="1:32" ht="12.75">
      <c r="A36" s="71"/>
      <c r="B36" s="18"/>
      <c r="C36" s="74"/>
      <c r="D36" s="196" t="s">
        <v>432</v>
      </c>
      <c r="E36" s="18"/>
      <c r="F36" s="18"/>
      <c r="G36" s="18"/>
      <c r="H36" s="18"/>
      <c r="I36" s="38"/>
      <c r="J36" s="74"/>
      <c r="K36" t="s">
        <v>133</v>
      </c>
      <c r="U36" t="s">
        <v>170</v>
      </c>
      <c r="AF36" t="s">
        <v>268</v>
      </c>
    </row>
    <row r="37" spans="1:21" ht="12.75">
      <c r="A37" s="71"/>
      <c r="B37" s="18"/>
      <c r="C37" s="74" t="s">
        <v>101</v>
      </c>
      <c r="D37" s="18"/>
      <c r="E37" s="18"/>
      <c r="F37" s="18"/>
      <c r="G37" s="18"/>
      <c r="H37" s="18"/>
      <c r="I37" s="38"/>
      <c r="J37" s="74"/>
      <c r="K37" t="s">
        <v>134</v>
      </c>
      <c r="U37" t="s">
        <v>171</v>
      </c>
    </row>
    <row r="38" spans="1:33" ht="12.75">
      <c r="A38" s="71"/>
      <c r="B38" s="18"/>
      <c r="C38" s="74"/>
      <c r="D38" s="18" t="s">
        <v>102</v>
      </c>
      <c r="E38" s="18"/>
      <c r="F38" s="18"/>
      <c r="G38" s="18"/>
      <c r="H38" s="18"/>
      <c r="I38" s="38"/>
      <c r="J38" s="74"/>
      <c r="T38" t="s">
        <v>247</v>
      </c>
      <c r="AG38" t="s">
        <v>285</v>
      </c>
    </row>
    <row r="39" spans="1:21" ht="12.75">
      <c r="A39" s="71"/>
      <c r="B39" s="18"/>
      <c r="C39" s="74"/>
      <c r="D39" s="18" t="s">
        <v>103</v>
      </c>
      <c r="E39" s="18"/>
      <c r="F39" s="18"/>
      <c r="G39" s="18"/>
      <c r="H39" s="18"/>
      <c r="I39" s="38"/>
      <c r="J39" s="74"/>
      <c r="K39" t="s">
        <v>306</v>
      </c>
      <c r="U39" t="s">
        <v>277</v>
      </c>
    </row>
    <row r="40" spans="1:31" ht="12.75">
      <c r="A40" s="71"/>
      <c r="B40" s="18"/>
      <c r="C40" s="74" t="s">
        <v>109</v>
      </c>
      <c r="D40" s="18"/>
      <c r="E40" s="18"/>
      <c r="F40" s="18"/>
      <c r="G40" s="18"/>
      <c r="H40" s="18"/>
      <c r="I40" s="38"/>
      <c r="J40" s="74"/>
      <c r="K40" t="s">
        <v>139</v>
      </c>
      <c r="U40" t="s">
        <v>278</v>
      </c>
      <c r="AE40" s="74" t="s">
        <v>369</v>
      </c>
    </row>
    <row r="41" spans="1:32" ht="12.75">
      <c r="A41" s="71"/>
      <c r="B41" s="18"/>
      <c r="C41" s="18"/>
      <c r="D41" s="18" t="s">
        <v>295</v>
      </c>
      <c r="E41" s="18"/>
      <c r="F41" s="18"/>
      <c r="G41" s="18"/>
      <c r="H41" s="18"/>
      <c r="I41" s="38"/>
      <c r="J41" s="74"/>
      <c r="K41" t="s">
        <v>302</v>
      </c>
      <c r="U41" t="s">
        <v>325</v>
      </c>
      <c r="AF41" t="s">
        <v>270</v>
      </c>
    </row>
    <row r="42" spans="1:33" ht="12.75">
      <c r="A42" s="71"/>
      <c r="B42" s="18"/>
      <c r="C42" s="18"/>
      <c r="D42" s="18" t="s">
        <v>110</v>
      </c>
      <c r="E42" s="18"/>
      <c r="F42" s="18"/>
      <c r="G42" s="18"/>
      <c r="H42" s="18"/>
      <c r="I42" s="38"/>
      <c r="J42" s="74"/>
      <c r="K42" t="s">
        <v>238</v>
      </c>
      <c r="U42" s="1" t="s">
        <v>326</v>
      </c>
      <c r="AG42" t="s">
        <v>271</v>
      </c>
    </row>
    <row r="43" spans="1:33" ht="12.75">
      <c r="A43" s="71"/>
      <c r="B43" s="18"/>
      <c r="C43" s="18"/>
      <c r="D43" s="18"/>
      <c r="E43" s="18"/>
      <c r="F43" s="18"/>
      <c r="G43" s="18"/>
      <c r="H43" s="18"/>
      <c r="I43" s="38"/>
      <c r="J43" s="74"/>
      <c r="M43" t="s">
        <v>307</v>
      </c>
      <c r="U43" t="s">
        <v>327</v>
      </c>
      <c r="AG43" t="s">
        <v>329</v>
      </c>
    </row>
    <row r="44" spans="1:32" ht="12.75">
      <c r="A44" s="71"/>
      <c r="B44" s="18" t="s">
        <v>296</v>
      </c>
      <c r="C44" s="18"/>
      <c r="D44" s="18"/>
      <c r="E44" s="18"/>
      <c r="F44" s="18"/>
      <c r="G44" s="18"/>
      <c r="H44" s="18"/>
      <c r="I44" s="38"/>
      <c r="J44" s="74"/>
      <c r="K44" t="s">
        <v>137</v>
      </c>
      <c r="T44" t="s">
        <v>248</v>
      </c>
      <c r="AF44" t="s">
        <v>370</v>
      </c>
    </row>
    <row r="45" spans="1:21" ht="12.75">
      <c r="A45" s="71"/>
      <c r="B45" s="18"/>
      <c r="C45" s="18" t="s">
        <v>111</v>
      </c>
      <c r="D45" s="18"/>
      <c r="E45" s="18"/>
      <c r="F45" s="18"/>
      <c r="G45" s="18"/>
      <c r="H45" s="18"/>
      <c r="I45" s="38"/>
      <c r="J45" s="74"/>
      <c r="U45" t="s">
        <v>356</v>
      </c>
    </row>
    <row r="46" spans="1:31" ht="12.75">
      <c r="A46" s="102"/>
      <c r="B46" s="42"/>
      <c r="C46" s="42"/>
      <c r="D46" s="160" t="s">
        <v>308</v>
      </c>
      <c r="E46" s="42"/>
      <c r="F46" s="42"/>
      <c r="G46" s="42"/>
      <c r="H46" s="42"/>
      <c r="I46" s="43"/>
      <c r="J46" s="74"/>
      <c r="K46" t="s">
        <v>160</v>
      </c>
      <c r="U46" t="s">
        <v>357</v>
      </c>
      <c r="AE46" s="74" t="s">
        <v>371</v>
      </c>
    </row>
    <row r="47" spans="1:32" ht="12.75">
      <c r="A47" s="78"/>
      <c r="B47" s="18"/>
      <c r="C47" s="18"/>
      <c r="D47" s="18"/>
      <c r="E47" s="18"/>
      <c r="F47" s="18"/>
      <c r="G47" s="18"/>
      <c r="H47" s="18"/>
      <c r="I47" s="18"/>
      <c r="J47" s="74"/>
      <c r="K47" t="s">
        <v>161</v>
      </c>
      <c r="T47" t="s">
        <v>249</v>
      </c>
      <c r="AF47" s="1" t="s">
        <v>272</v>
      </c>
    </row>
    <row r="48" spans="1:33" ht="12.75">
      <c r="A48" s="1" t="s">
        <v>143</v>
      </c>
      <c r="J48" s="74"/>
      <c r="K48" t="s">
        <v>163</v>
      </c>
      <c r="U48" t="s">
        <v>358</v>
      </c>
      <c r="AG48" t="s">
        <v>273</v>
      </c>
    </row>
    <row r="49" spans="2:34" ht="12.75">
      <c r="B49" t="s">
        <v>144</v>
      </c>
      <c r="J49" s="74"/>
      <c r="K49" t="s">
        <v>162</v>
      </c>
      <c r="U49" t="s">
        <v>359</v>
      </c>
      <c r="AH49" t="s">
        <v>274</v>
      </c>
    </row>
    <row r="50" spans="2:34" ht="12.75">
      <c r="B50" t="s">
        <v>145</v>
      </c>
      <c r="J50" s="74"/>
      <c r="K50" t="s">
        <v>136</v>
      </c>
      <c r="U50" t="s">
        <v>324</v>
      </c>
      <c r="AH50" t="s">
        <v>275</v>
      </c>
    </row>
    <row r="51" spans="3:34" ht="12.75">
      <c r="C51" t="s">
        <v>148</v>
      </c>
      <c r="J51" s="74"/>
      <c r="K51" t="s">
        <v>135</v>
      </c>
      <c r="U51" t="s">
        <v>360</v>
      </c>
      <c r="AH51" t="s">
        <v>276</v>
      </c>
    </row>
    <row r="52" spans="3:12" ht="12.75">
      <c r="C52" t="s">
        <v>149</v>
      </c>
      <c r="J52" s="74"/>
      <c r="L52" t="s">
        <v>138</v>
      </c>
    </row>
    <row r="53" spans="3:31" ht="12.75">
      <c r="C53" s="1" t="s">
        <v>309</v>
      </c>
      <c r="J53" s="74"/>
      <c r="L53" s="122" t="s">
        <v>239</v>
      </c>
      <c r="T53" t="s">
        <v>361</v>
      </c>
      <c r="AE53"/>
    </row>
    <row r="54" spans="3:31" ht="12.75">
      <c r="C54" t="s">
        <v>150</v>
      </c>
      <c r="J54" s="74"/>
      <c r="M54" t="s">
        <v>240</v>
      </c>
      <c r="U54" t="s">
        <v>256</v>
      </c>
      <c r="AE54"/>
    </row>
    <row r="55" spans="3:31" ht="12.75">
      <c r="C55" t="s">
        <v>151</v>
      </c>
      <c r="J55" s="74"/>
      <c r="L55" t="s">
        <v>241</v>
      </c>
      <c r="U55" t="s">
        <v>255</v>
      </c>
      <c r="AE55"/>
    </row>
    <row r="56" spans="10:31" ht="12.75">
      <c r="J56" s="18"/>
      <c r="K56" s="18"/>
      <c r="L56" s="18" t="s">
        <v>140</v>
      </c>
      <c r="M56" s="18"/>
      <c r="N56" s="18"/>
      <c r="O56" s="18"/>
      <c r="P56" s="18"/>
      <c r="Q56" s="18"/>
      <c r="R56" s="18"/>
      <c r="V56" t="s">
        <v>254</v>
      </c>
      <c r="AE56"/>
    </row>
    <row r="57" spans="9:31" ht="12.75">
      <c r="I57" s="161" t="s">
        <v>310</v>
      </c>
      <c r="J57"/>
      <c r="M57" t="s">
        <v>141</v>
      </c>
      <c r="R57" s="161" t="s">
        <v>310</v>
      </c>
      <c r="V57" t="s">
        <v>328</v>
      </c>
      <c r="AE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74" ht="12.75">
      <c r="S74" s="18"/>
    </row>
    <row r="80" ht="12.75">
      <c r="J80" s="18"/>
    </row>
    <row r="81" ht="12.75">
      <c r="J81"/>
    </row>
    <row r="82" ht="12.75">
      <c r="J82"/>
    </row>
  </sheetData>
  <sheetProtection sheet="1" objects="1" scenarios="1"/>
  <hyperlinks>
    <hyperlink ref="I8" r:id="rId1" display="moorest@msu.edu"/>
  </hyperlinks>
  <printOptions/>
  <pageMargins left="0.76" right="0.58" top="0.3" bottom="0.27" header="0.28" footer="0.25"/>
  <pageSetup horizontalDpi="300" verticalDpi="300" orientation="portrait" r:id="rId2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1"/>
  <sheetViews>
    <sheetView showGridLines="0" zoomScalePageLayoutView="0" workbookViewId="0" topLeftCell="A1">
      <selection activeCell="C110" sqref="C110"/>
    </sheetView>
  </sheetViews>
  <sheetFormatPr defaultColWidth="9.140625" defaultRowHeight="12.75"/>
  <cols>
    <col min="1" max="1" width="2.8515625" style="1" customWidth="1"/>
    <col min="2" max="2" width="19.57421875" style="0" customWidth="1"/>
    <col min="3" max="3" width="11.57421875" style="0" customWidth="1"/>
    <col min="4" max="4" width="9.421875" style="0" customWidth="1"/>
    <col min="5" max="5" width="10.28125" style="0" customWidth="1"/>
    <col min="6" max="6" width="1.28515625" style="2" customWidth="1"/>
    <col min="7" max="7" width="11.00390625" style="0" customWidth="1"/>
    <col min="8" max="8" width="9.421875" style="0" customWidth="1"/>
    <col min="9" max="9" width="10.8515625" style="0" customWidth="1"/>
    <col min="10" max="10" width="1.1484375" style="0" customWidth="1"/>
    <col min="11" max="11" width="10.00390625" style="0" customWidth="1"/>
    <col min="12" max="12" width="11.57421875" style="0" customWidth="1"/>
    <col min="15" max="15" width="11.00390625" style="0" customWidth="1"/>
    <col min="16" max="16" width="10.57421875" style="0" customWidth="1"/>
    <col min="17" max="17" width="23.7109375" style="0" customWidth="1"/>
    <col min="18" max="18" width="11.421875" style="0" customWidth="1"/>
    <col min="22" max="22" width="12.140625" style="0" customWidth="1"/>
    <col min="24" max="24" width="9.140625" style="0" customWidth="1"/>
  </cols>
  <sheetData>
    <row r="1" ht="12.75">
      <c r="E1" s="2" t="s">
        <v>0</v>
      </c>
    </row>
    <row r="2" spans="2:8" ht="12.75">
      <c r="B2" s="186" t="s">
        <v>331</v>
      </c>
      <c r="C2" s="3"/>
      <c r="D2" s="3"/>
      <c r="E2" s="163" t="s">
        <v>349</v>
      </c>
      <c r="H2" s="186" t="s">
        <v>332</v>
      </c>
    </row>
    <row r="3" spans="2:24" ht="12.75">
      <c r="B3" s="7" t="s">
        <v>2</v>
      </c>
      <c r="C3" s="187" t="s">
        <v>414</v>
      </c>
      <c r="D3" s="8"/>
      <c r="E3" s="8"/>
      <c r="F3" s="9"/>
      <c r="G3" s="10"/>
      <c r="H3" s="10"/>
      <c r="I3" s="11"/>
      <c r="R3" s="197" t="s">
        <v>410</v>
      </c>
      <c r="S3" s="197"/>
      <c r="T3" s="197"/>
      <c r="U3" s="197"/>
      <c r="V3" s="197"/>
      <c r="W3" s="197"/>
      <c r="X3" s="197"/>
    </row>
    <row r="4" spans="1:24" ht="12.75">
      <c r="A4" s="53" t="s">
        <v>422</v>
      </c>
      <c r="B4" s="7"/>
      <c r="C4" s="30"/>
      <c r="D4" s="30"/>
      <c r="F4" s="12"/>
      <c r="G4" s="18"/>
      <c r="H4" s="18"/>
      <c r="I4" s="18"/>
      <c r="R4" s="197"/>
      <c r="S4" s="197"/>
      <c r="T4" s="197"/>
      <c r="U4" s="197"/>
      <c r="V4" s="197"/>
      <c r="W4" s="197"/>
      <c r="X4" s="197"/>
    </row>
    <row r="5" spans="2:9" ht="12.75">
      <c r="B5" s="53" t="s">
        <v>423</v>
      </c>
      <c r="C5" s="52"/>
      <c r="D5" s="52"/>
      <c r="E5" s="52"/>
      <c r="F5" s="52"/>
      <c r="G5" s="52"/>
      <c r="H5" s="52"/>
      <c r="I5" s="52"/>
    </row>
    <row r="6" spans="6:21" ht="12.75">
      <c r="F6" s="2" t="s">
        <v>6</v>
      </c>
      <c r="P6" s="1"/>
      <c r="U6" s="2" t="s">
        <v>6</v>
      </c>
    </row>
    <row r="7" spans="3:27" ht="12.75">
      <c r="C7" s="22" t="s">
        <v>7</v>
      </c>
      <c r="D7" s="130" t="s">
        <v>376</v>
      </c>
      <c r="E7" s="23"/>
      <c r="G7" s="22" t="s">
        <v>7</v>
      </c>
      <c r="H7" s="130" t="s">
        <v>377</v>
      </c>
      <c r="I7" s="23"/>
      <c r="K7" s="24" t="str">
        <f>D7</f>
        <v>Tall Spindle Apples</v>
      </c>
      <c r="L7" s="6"/>
      <c r="P7" s="1"/>
      <c r="R7" s="22" t="s">
        <v>7</v>
      </c>
      <c r="S7" s="130" t="s">
        <v>387</v>
      </c>
      <c r="T7" s="23"/>
      <c r="U7" s="2"/>
      <c r="V7" s="22" t="s">
        <v>7</v>
      </c>
      <c r="W7" s="130" t="s">
        <v>386</v>
      </c>
      <c r="X7" s="23"/>
      <c r="Z7" s="24" t="str">
        <f>S7</f>
        <v>Blue Berry Fresh MK</v>
      </c>
      <c r="AA7" s="6"/>
    </row>
    <row r="8" spans="3:27" ht="12.75">
      <c r="C8" s="22" t="s">
        <v>9</v>
      </c>
      <c r="D8" s="22" t="s">
        <v>10</v>
      </c>
      <c r="E8" s="22" t="s">
        <v>11</v>
      </c>
      <c r="G8" s="22" t="s">
        <v>9</v>
      </c>
      <c r="H8" s="22" t="s">
        <v>10</v>
      </c>
      <c r="I8" s="22" t="s">
        <v>11</v>
      </c>
      <c r="K8" s="17" t="s">
        <v>224</v>
      </c>
      <c r="L8" s="101" t="s">
        <v>226</v>
      </c>
      <c r="P8" s="1"/>
      <c r="R8" s="22" t="s">
        <v>9</v>
      </c>
      <c r="S8" s="22" t="s">
        <v>10</v>
      </c>
      <c r="T8" s="22" t="s">
        <v>11</v>
      </c>
      <c r="U8" s="2"/>
      <c r="V8" s="22" t="s">
        <v>9</v>
      </c>
      <c r="W8" s="22" t="s">
        <v>10</v>
      </c>
      <c r="X8" s="22" t="s">
        <v>11</v>
      </c>
      <c r="Z8" s="17" t="s">
        <v>224</v>
      </c>
      <c r="AA8" s="101" t="s">
        <v>226</v>
      </c>
    </row>
    <row r="9" spans="1:27" ht="12.75">
      <c r="A9" s="1" t="s">
        <v>14</v>
      </c>
      <c r="C9" s="18"/>
      <c r="D9" s="18"/>
      <c r="E9" s="18"/>
      <c r="G9" s="18"/>
      <c r="H9" s="18"/>
      <c r="I9" s="18"/>
      <c r="K9" s="17" t="s">
        <v>225</v>
      </c>
      <c r="L9" s="101" t="s">
        <v>225</v>
      </c>
      <c r="P9" s="1" t="s">
        <v>14</v>
      </c>
      <c r="R9" s="18"/>
      <c r="S9" s="194" t="s">
        <v>411</v>
      </c>
      <c r="T9" s="18"/>
      <c r="U9" s="2"/>
      <c r="V9" s="18"/>
      <c r="W9" s="194" t="s">
        <v>411</v>
      </c>
      <c r="X9" s="18"/>
      <c r="Z9" s="17" t="s">
        <v>225</v>
      </c>
      <c r="AA9" s="101" t="s">
        <v>225</v>
      </c>
    </row>
    <row r="10" spans="2:27" ht="12.75">
      <c r="B10" t="s">
        <v>17</v>
      </c>
      <c r="C10" s="129">
        <v>1000</v>
      </c>
      <c r="D10" s="27"/>
      <c r="E10" s="27"/>
      <c r="G10" s="129">
        <v>750</v>
      </c>
      <c r="H10" s="27"/>
      <c r="I10" s="27"/>
      <c r="K10" s="154">
        <f>(C10*C11)-L10</f>
        <v>3575</v>
      </c>
      <c r="L10" s="184">
        <f>C10*C11*C12/100</f>
        <v>3575</v>
      </c>
      <c r="P10" s="1"/>
      <c r="Q10" t="s">
        <v>17</v>
      </c>
      <c r="R10" s="129">
        <v>4719</v>
      </c>
      <c r="S10" s="27"/>
      <c r="T10" s="27"/>
      <c r="U10" s="2"/>
      <c r="V10" s="129">
        <v>4719</v>
      </c>
      <c r="W10" s="27"/>
      <c r="X10" s="27"/>
      <c r="Z10" s="154">
        <f>(R10*R11)-AA10</f>
        <v>4058.34</v>
      </c>
      <c r="AA10" s="184">
        <f>R10*R11*R12/100</f>
        <v>4058.34</v>
      </c>
    </row>
    <row r="11" spans="2:26" ht="12.75">
      <c r="B11" t="s">
        <v>19</v>
      </c>
      <c r="C11" s="131">
        <v>7.15</v>
      </c>
      <c r="D11" s="27"/>
      <c r="E11" s="27"/>
      <c r="G11" s="136">
        <v>7.15</v>
      </c>
      <c r="H11" s="27"/>
      <c r="I11" s="27"/>
      <c r="K11" s="44"/>
      <c r="P11" s="1"/>
      <c r="Q11" t="s">
        <v>19</v>
      </c>
      <c r="R11" s="131">
        <v>1.72</v>
      </c>
      <c r="S11" s="27"/>
      <c r="T11" s="27"/>
      <c r="U11" s="2"/>
      <c r="V11" s="136">
        <v>1.01</v>
      </c>
      <c r="W11" s="27"/>
      <c r="X11" s="27"/>
      <c r="Z11" s="44"/>
    </row>
    <row r="12" spans="2:26" ht="12.75">
      <c r="B12" s="26" t="s">
        <v>223</v>
      </c>
      <c r="C12" s="132">
        <v>50</v>
      </c>
      <c r="D12" s="27"/>
      <c r="E12" s="27"/>
      <c r="G12" s="132">
        <v>50</v>
      </c>
      <c r="H12" s="27"/>
      <c r="I12" s="27"/>
      <c r="K12" s="44"/>
      <c r="P12" s="1"/>
      <c r="Q12" s="26" t="s">
        <v>223</v>
      </c>
      <c r="R12" s="132">
        <v>50</v>
      </c>
      <c r="S12" s="27"/>
      <c r="T12" s="27"/>
      <c r="U12" s="2"/>
      <c r="V12" s="132">
        <v>50</v>
      </c>
      <c r="W12" s="27"/>
      <c r="X12" s="27"/>
      <c r="Z12" s="44"/>
    </row>
    <row r="13" spans="2:27" ht="12.75">
      <c r="B13" t="s">
        <v>24</v>
      </c>
      <c r="C13" s="133">
        <v>1.8</v>
      </c>
      <c r="D13" s="27"/>
      <c r="E13" s="27"/>
      <c r="G13" s="137">
        <v>1.8</v>
      </c>
      <c r="H13" s="27"/>
      <c r="I13" s="27"/>
      <c r="K13" s="155" t="str">
        <f>H7</f>
        <v>Vertical Axe Apples</v>
      </c>
      <c r="L13" s="6"/>
      <c r="P13" s="1"/>
      <c r="Q13" t="s">
        <v>24</v>
      </c>
      <c r="R13" s="133">
        <v>0.5</v>
      </c>
      <c r="S13" s="27"/>
      <c r="T13" s="27"/>
      <c r="U13" s="2"/>
      <c r="V13" s="137">
        <v>0.1</v>
      </c>
      <c r="W13" s="27"/>
      <c r="X13" s="27"/>
      <c r="Z13" s="155" t="str">
        <f>W7</f>
        <v>Blue Berry Frozen</v>
      </c>
      <c r="AA13" s="6"/>
    </row>
    <row r="14" spans="1:27" ht="12.75">
      <c r="A14" s="1" t="s">
        <v>26</v>
      </c>
      <c r="C14" s="18" t="s">
        <v>382</v>
      </c>
      <c r="D14" s="18"/>
      <c r="E14" s="18"/>
      <c r="G14" s="18" t="s">
        <v>382</v>
      </c>
      <c r="H14" s="18"/>
      <c r="I14" s="18"/>
      <c r="K14" s="156" t="s">
        <v>224</v>
      </c>
      <c r="L14" s="101" t="s">
        <v>226</v>
      </c>
      <c r="P14" s="1" t="s">
        <v>26</v>
      </c>
      <c r="R14" s="18" t="s">
        <v>382</v>
      </c>
      <c r="S14" s="18"/>
      <c r="T14" s="18"/>
      <c r="U14" s="2"/>
      <c r="V14" s="18" t="s">
        <v>382</v>
      </c>
      <c r="W14" s="18"/>
      <c r="X14" s="18"/>
      <c r="Z14" s="156" t="s">
        <v>224</v>
      </c>
      <c r="AA14" s="101" t="s">
        <v>226</v>
      </c>
    </row>
    <row r="15" spans="2:27" ht="12.75">
      <c r="B15" t="s">
        <v>28</v>
      </c>
      <c r="C15" s="129"/>
      <c r="D15" s="129"/>
      <c r="E15" s="134">
        <v>711.15</v>
      </c>
      <c r="G15" s="129"/>
      <c r="H15" s="129"/>
      <c r="I15" s="134">
        <v>711.15</v>
      </c>
      <c r="K15" s="156" t="s">
        <v>225</v>
      </c>
      <c r="L15" s="101" t="s">
        <v>225</v>
      </c>
      <c r="P15" s="1"/>
      <c r="Q15" t="s">
        <v>28</v>
      </c>
      <c r="R15" s="129"/>
      <c r="S15" s="129"/>
      <c r="T15" s="134">
        <v>3485.53</v>
      </c>
      <c r="U15" s="2"/>
      <c r="V15" s="129"/>
      <c r="W15" s="129"/>
      <c r="X15" s="134">
        <v>3485.53</v>
      </c>
      <c r="Z15" s="156" t="s">
        <v>225</v>
      </c>
      <c r="AA15" s="101" t="s">
        <v>225</v>
      </c>
    </row>
    <row r="16" spans="2:27" ht="12.75">
      <c r="B16" t="s">
        <v>29</v>
      </c>
      <c r="C16" s="129"/>
      <c r="D16" s="129"/>
      <c r="E16" s="134"/>
      <c r="G16" s="129"/>
      <c r="H16" s="129"/>
      <c r="I16" s="134"/>
      <c r="K16" s="154">
        <f>(G10*G11)-L16</f>
        <v>2681.25</v>
      </c>
      <c r="L16" s="184">
        <f>G10*G11*G12/100</f>
        <v>2681.25</v>
      </c>
      <c r="P16" s="1"/>
      <c r="Q16" t="s">
        <v>29</v>
      </c>
      <c r="R16" s="129"/>
      <c r="S16" s="129"/>
      <c r="T16" s="134"/>
      <c r="U16" s="2"/>
      <c r="V16" s="129"/>
      <c r="W16" s="129"/>
      <c r="X16" s="134"/>
      <c r="Z16" s="154">
        <f>(V10*V11)-AA16</f>
        <v>2383.095</v>
      </c>
      <c r="AA16" s="184">
        <f>V10*V11*V12/100</f>
        <v>2383.095</v>
      </c>
    </row>
    <row r="17" spans="2:24" ht="12.75">
      <c r="B17" t="s">
        <v>281</v>
      </c>
      <c r="C17" s="129">
        <v>90.75</v>
      </c>
      <c r="D17" s="129">
        <v>453.75</v>
      </c>
      <c r="E17" s="134">
        <v>9075</v>
      </c>
      <c r="G17" s="129">
        <v>46.67</v>
      </c>
      <c r="H17" s="129">
        <v>233.36</v>
      </c>
      <c r="I17" s="134">
        <v>4667.14</v>
      </c>
      <c r="P17" s="1"/>
      <c r="Q17" t="s">
        <v>281</v>
      </c>
      <c r="R17" s="129">
        <v>12.5</v>
      </c>
      <c r="S17" s="129">
        <v>406.02</v>
      </c>
      <c r="T17" s="134">
        <v>7260</v>
      </c>
      <c r="U17" s="2"/>
      <c r="V17" s="129">
        <v>12.5</v>
      </c>
      <c r="W17" s="129">
        <v>406.02</v>
      </c>
      <c r="X17" s="134">
        <v>7260</v>
      </c>
    </row>
    <row r="18" spans="2:24" ht="12.75">
      <c r="B18" t="s">
        <v>33</v>
      </c>
      <c r="C18" s="129"/>
      <c r="D18" s="129">
        <v>10</v>
      </c>
      <c r="E18" s="134">
        <v>3398</v>
      </c>
      <c r="G18" s="129"/>
      <c r="H18" s="129">
        <v>60</v>
      </c>
      <c r="I18" s="134">
        <v>2429</v>
      </c>
      <c r="P18" s="1"/>
      <c r="Q18" t="s">
        <v>33</v>
      </c>
      <c r="R18" s="129"/>
      <c r="S18" s="129"/>
      <c r="T18" s="134"/>
      <c r="U18" s="2"/>
      <c r="V18" s="129"/>
      <c r="W18" s="129"/>
      <c r="X18" s="134"/>
    </row>
    <row r="19" spans="2:24" ht="12.75">
      <c r="B19" t="s">
        <v>34</v>
      </c>
      <c r="C19" s="129">
        <v>57.31</v>
      </c>
      <c r="D19" s="129">
        <v>8.32</v>
      </c>
      <c r="E19" s="134">
        <v>108.78</v>
      </c>
      <c r="G19" s="129">
        <v>53.57</v>
      </c>
      <c r="H19" s="129">
        <v>3.89</v>
      </c>
      <c r="I19" s="134">
        <v>106.94</v>
      </c>
      <c r="P19" s="1"/>
      <c r="Q19" t="s">
        <v>34</v>
      </c>
      <c r="R19" s="129">
        <v>57.25</v>
      </c>
      <c r="S19" s="129">
        <v>87</v>
      </c>
      <c r="T19" s="134">
        <v>82.5</v>
      </c>
      <c r="U19" s="2"/>
      <c r="V19" s="129">
        <v>57.25</v>
      </c>
      <c r="W19" s="129">
        <v>87</v>
      </c>
      <c r="X19" s="134">
        <v>82.5</v>
      </c>
    </row>
    <row r="20" spans="2:24" ht="12.75">
      <c r="B20" t="s">
        <v>35</v>
      </c>
      <c r="C20" s="129">
        <v>627.07</v>
      </c>
      <c r="D20" s="129">
        <v>394.5</v>
      </c>
      <c r="E20" s="134">
        <v>78.8</v>
      </c>
      <c r="G20" s="129">
        <v>803.69</v>
      </c>
      <c r="H20" s="129">
        <v>191.45</v>
      </c>
      <c r="I20" s="134">
        <v>77.36</v>
      </c>
      <c r="P20" s="1"/>
      <c r="Q20" t="s">
        <v>35</v>
      </c>
      <c r="R20" s="129">
        <v>392.14</v>
      </c>
      <c r="S20" s="129">
        <v>4.8</v>
      </c>
      <c r="T20" s="134">
        <v>111.52</v>
      </c>
      <c r="U20" s="2"/>
      <c r="V20" s="129">
        <v>392.14</v>
      </c>
      <c r="W20" s="129">
        <v>4.8</v>
      </c>
      <c r="X20" s="134">
        <v>111.52</v>
      </c>
    </row>
    <row r="21" spans="2:24" ht="12.75">
      <c r="B21" t="s">
        <v>37</v>
      </c>
      <c r="C21" s="129">
        <v>0</v>
      </c>
      <c r="D21" s="129">
        <v>0</v>
      </c>
      <c r="E21" s="134">
        <v>11</v>
      </c>
      <c r="G21" s="129">
        <v>0</v>
      </c>
      <c r="H21" s="129">
        <v>0</v>
      </c>
      <c r="I21" s="134">
        <v>11</v>
      </c>
      <c r="P21" s="1"/>
      <c r="Q21" t="s">
        <v>37</v>
      </c>
      <c r="R21" s="129">
        <v>0</v>
      </c>
      <c r="S21" s="129">
        <v>0</v>
      </c>
      <c r="T21" s="134"/>
      <c r="U21" s="2"/>
      <c r="V21" s="129">
        <v>0</v>
      </c>
      <c r="W21" s="129">
        <v>0</v>
      </c>
      <c r="X21" s="134"/>
    </row>
    <row r="22" spans="2:24" ht="12.75">
      <c r="B22" t="s">
        <v>97</v>
      </c>
      <c r="C22" s="129">
        <v>1013.43</v>
      </c>
      <c r="D22" s="129">
        <v>610.94</v>
      </c>
      <c r="E22" s="134">
        <v>2337.38</v>
      </c>
      <c r="G22" s="129">
        <v>1005.84</v>
      </c>
      <c r="H22" s="129">
        <v>968</v>
      </c>
      <c r="I22" s="134">
        <v>1075.92</v>
      </c>
      <c r="P22" s="1"/>
      <c r="Q22" t="s">
        <v>97</v>
      </c>
      <c r="R22" s="129">
        <v>1033.67</v>
      </c>
      <c r="S22" s="129">
        <v>187.18</v>
      </c>
      <c r="T22" s="134">
        <v>395.08</v>
      </c>
      <c r="U22" s="2"/>
      <c r="V22" s="129">
        <v>1033.67</v>
      </c>
      <c r="W22" s="129">
        <v>187.18</v>
      </c>
      <c r="X22" s="134">
        <v>395.08</v>
      </c>
    </row>
    <row r="23" spans="2:24" ht="12.75">
      <c r="B23" t="s">
        <v>38</v>
      </c>
      <c r="C23" s="129">
        <v>0</v>
      </c>
      <c r="D23" s="129"/>
      <c r="E23" s="134"/>
      <c r="F23" s="30"/>
      <c r="G23" s="129">
        <v>0</v>
      </c>
      <c r="H23" s="129"/>
      <c r="I23" s="134"/>
      <c r="P23" s="1"/>
      <c r="Q23" t="s">
        <v>38</v>
      </c>
      <c r="R23" s="129">
        <v>0</v>
      </c>
      <c r="S23" s="129"/>
      <c r="T23" s="134"/>
      <c r="U23" s="30"/>
      <c r="V23" s="129">
        <v>0</v>
      </c>
      <c r="W23" s="129"/>
      <c r="X23" s="134"/>
    </row>
    <row r="24" spans="2:24" ht="12.75">
      <c r="B24" t="s">
        <v>39</v>
      </c>
      <c r="C24" s="129">
        <v>28</v>
      </c>
      <c r="D24" s="129"/>
      <c r="E24" s="134"/>
      <c r="G24" s="129">
        <v>28</v>
      </c>
      <c r="H24" s="129"/>
      <c r="I24" s="134"/>
      <c r="P24" s="1"/>
      <c r="Q24" t="s">
        <v>39</v>
      </c>
      <c r="R24" s="129">
        <v>0</v>
      </c>
      <c r="S24" s="129"/>
      <c r="T24" s="134"/>
      <c r="U24" s="2"/>
      <c r="V24" s="129"/>
      <c r="W24" s="129"/>
      <c r="X24" s="134"/>
    </row>
    <row r="25" spans="2:26" ht="12.75">
      <c r="B25" t="s">
        <v>98</v>
      </c>
      <c r="C25" s="135">
        <v>4</v>
      </c>
      <c r="D25" s="135"/>
      <c r="E25" s="134"/>
      <c r="G25" s="134"/>
      <c r="H25" s="135"/>
      <c r="I25" s="134"/>
      <c r="K25" t="s">
        <v>227</v>
      </c>
      <c r="P25" s="1"/>
      <c r="Q25" t="s">
        <v>98</v>
      </c>
      <c r="R25" s="135">
        <v>51.42</v>
      </c>
      <c r="S25" s="135">
        <v>19.97</v>
      </c>
      <c r="T25" s="134"/>
      <c r="U25" s="2"/>
      <c r="V25" s="134">
        <v>51.42</v>
      </c>
      <c r="W25" s="135">
        <v>19.97</v>
      </c>
      <c r="X25" s="134"/>
      <c r="Z25" t="s">
        <v>227</v>
      </c>
    </row>
    <row r="26" spans="2:26" ht="12.75">
      <c r="B26" s="26" t="s">
        <v>40</v>
      </c>
      <c r="C26" s="31">
        <f>C13*C10</f>
        <v>1800</v>
      </c>
      <c r="D26" s="32"/>
      <c r="E26" s="33"/>
      <c r="G26" s="31">
        <f>G13*G10</f>
        <v>1350</v>
      </c>
      <c r="H26" s="32"/>
      <c r="I26" s="34"/>
      <c r="K26" t="s">
        <v>228</v>
      </c>
      <c r="P26" s="1"/>
      <c r="Q26" s="26" t="s">
        <v>40</v>
      </c>
      <c r="R26" s="31">
        <f>R13*R10</f>
        <v>2359.5</v>
      </c>
      <c r="S26" s="32"/>
      <c r="T26" s="33"/>
      <c r="U26" s="2"/>
      <c r="V26" s="31">
        <f>V13*V10</f>
        <v>471.90000000000003</v>
      </c>
      <c r="W26" s="32"/>
      <c r="X26" s="34"/>
      <c r="Z26" t="s">
        <v>228</v>
      </c>
    </row>
    <row r="27" spans="2:26" ht="12.75">
      <c r="B27" s="7" t="s">
        <v>41</v>
      </c>
      <c r="C27" s="35">
        <f aca="true" t="shared" si="0" ref="C27:I27">SUM(C15:C26)</f>
        <v>3620.56</v>
      </c>
      <c r="D27" s="35">
        <f t="shared" si="0"/>
        <v>1477.51</v>
      </c>
      <c r="E27" s="35">
        <f t="shared" si="0"/>
        <v>15720.11</v>
      </c>
      <c r="F27" s="35">
        <f t="shared" si="0"/>
        <v>0</v>
      </c>
      <c r="G27" s="35">
        <f t="shared" si="0"/>
        <v>3287.77</v>
      </c>
      <c r="H27" s="35">
        <f t="shared" si="0"/>
        <v>1456.7</v>
      </c>
      <c r="I27" s="35">
        <f t="shared" si="0"/>
        <v>9078.509999999998</v>
      </c>
      <c r="K27" t="s">
        <v>229</v>
      </c>
      <c r="P27" s="1"/>
      <c r="Q27" s="7" t="s">
        <v>41</v>
      </c>
      <c r="R27" s="35">
        <f aca="true" t="shared" si="1" ref="R27:X27">SUM(R15:R26)</f>
        <v>3906.48</v>
      </c>
      <c r="S27" s="35">
        <f t="shared" si="1"/>
        <v>704.97</v>
      </c>
      <c r="T27" s="35">
        <f t="shared" si="1"/>
        <v>11334.630000000001</v>
      </c>
      <c r="U27" s="35">
        <f t="shared" si="1"/>
        <v>0</v>
      </c>
      <c r="V27" s="35">
        <f t="shared" si="1"/>
        <v>2018.88</v>
      </c>
      <c r="W27" s="35">
        <f t="shared" si="1"/>
        <v>704.97</v>
      </c>
      <c r="X27" s="35">
        <f t="shared" si="1"/>
        <v>11334.630000000001</v>
      </c>
      <c r="Z27" t="s">
        <v>229</v>
      </c>
    </row>
    <row r="28" spans="3:26" ht="12.75">
      <c r="C28" s="18"/>
      <c r="D28" s="18"/>
      <c r="E28" s="18"/>
      <c r="G28" s="18"/>
      <c r="K28" t="s">
        <v>230</v>
      </c>
      <c r="P28" s="1"/>
      <c r="R28" s="18"/>
      <c r="S28" s="18"/>
      <c r="T28" s="18"/>
      <c r="U28" s="2"/>
      <c r="V28" s="18"/>
      <c r="Z28" t="s">
        <v>230</v>
      </c>
    </row>
    <row r="29" spans="1:26" ht="12.75">
      <c r="A29" s="1" t="s">
        <v>63</v>
      </c>
      <c r="C29" s="36">
        <f>(C10*C11)-C27</f>
        <v>3529.44</v>
      </c>
      <c r="D29" s="36">
        <f aca="true" t="shared" si="2" ref="D29:I29">(D10*D11)-D27</f>
        <v>-1477.51</v>
      </c>
      <c r="E29" s="36">
        <f t="shared" si="2"/>
        <v>-15720.11</v>
      </c>
      <c r="F29" s="36">
        <f t="shared" si="2"/>
        <v>0</v>
      </c>
      <c r="G29" s="36">
        <f t="shared" si="2"/>
        <v>2074.73</v>
      </c>
      <c r="H29" s="36">
        <f t="shared" si="2"/>
        <v>-1456.7</v>
      </c>
      <c r="I29" s="36">
        <f t="shared" si="2"/>
        <v>-9078.509999999998</v>
      </c>
      <c r="K29" t="s">
        <v>231</v>
      </c>
      <c r="P29" s="1" t="s">
        <v>63</v>
      </c>
      <c r="R29" s="36">
        <f>(R10*R11)-R27</f>
        <v>4210.200000000001</v>
      </c>
      <c r="S29" s="36">
        <f aca="true" t="shared" si="3" ref="S29:X29">(S10*S11)-S27</f>
        <v>-704.97</v>
      </c>
      <c r="T29" s="36">
        <f t="shared" si="3"/>
        <v>-11334.630000000001</v>
      </c>
      <c r="U29" s="36">
        <f t="shared" si="3"/>
        <v>0</v>
      </c>
      <c r="V29" s="36">
        <f t="shared" si="3"/>
        <v>2747.3099999999995</v>
      </c>
      <c r="W29" s="36">
        <f t="shared" si="3"/>
        <v>-704.97</v>
      </c>
      <c r="X29" s="36">
        <f t="shared" si="3"/>
        <v>-11334.630000000001</v>
      </c>
      <c r="Z29" t="s">
        <v>231</v>
      </c>
    </row>
    <row r="31" ht="12.75">
      <c r="F31" s="2" t="s">
        <v>6</v>
      </c>
    </row>
    <row r="32" spans="3:21" ht="12.75">
      <c r="C32" s="22" t="s">
        <v>7</v>
      </c>
      <c r="D32" s="130" t="s">
        <v>378</v>
      </c>
      <c r="E32" s="23"/>
      <c r="G32" s="22" t="s">
        <v>7</v>
      </c>
      <c r="H32" s="130" t="s">
        <v>388</v>
      </c>
      <c r="I32" s="23"/>
      <c r="K32" s="24" t="str">
        <f>D32</f>
        <v>Central Leader Apples</v>
      </c>
      <c r="L32" s="6"/>
      <c r="P32" s="1"/>
      <c r="U32" s="2" t="s">
        <v>6</v>
      </c>
    </row>
    <row r="33" spans="3:27" ht="12.75">
      <c r="C33" s="22" t="s">
        <v>9</v>
      </c>
      <c r="D33" s="22" t="s">
        <v>10</v>
      </c>
      <c r="E33" s="22" t="s">
        <v>11</v>
      </c>
      <c r="G33" s="22" t="s">
        <v>9</v>
      </c>
      <c r="H33" s="22" t="s">
        <v>10</v>
      </c>
      <c r="I33" s="37" t="s">
        <v>11</v>
      </c>
      <c r="K33" s="17" t="s">
        <v>224</v>
      </c>
      <c r="L33" s="101" t="s">
        <v>226</v>
      </c>
      <c r="P33" s="1"/>
      <c r="R33" s="22" t="s">
        <v>7</v>
      </c>
      <c r="S33" s="130" t="s">
        <v>438</v>
      </c>
      <c r="T33" s="23"/>
      <c r="U33" s="2"/>
      <c r="V33" s="22" t="s">
        <v>7</v>
      </c>
      <c r="W33" s="130"/>
      <c r="X33" s="23"/>
      <c r="Z33" s="24" t="str">
        <f>S33</f>
        <v>Juice Grapes (2007)</v>
      </c>
      <c r="AA33" s="6"/>
    </row>
    <row r="34" spans="1:27" ht="12.75">
      <c r="A34" s="1" t="s">
        <v>14</v>
      </c>
      <c r="K34" s="17" t="s">
        <v>225</v>
      </c>
      <c r="L34" s="101" t="s">
        <v>225</v>
      </c>
      <c r="P34" s="1"/>
      <c r="R34" s="22" t="s">
        <v>9</v>
      </c>
      <c r="S34" s="22" t="s">
        <v>10</v>
      </c>
      <c r="T34" s="22" t="s">
        <v>11</v>
      </c>
      <c r="U34" s="2"/>
      <c r="V34" s="22" t="s">
        <v>9</v>
      </c>
      <c r="W34" s="22" t="s">
        <v>10</v>
      </c>
      <c r="X34" s="22" t="s">
        <v>11</v>
      </c>
      <c r="Z34" s="17" t="s">
        <v>224</v>
      </c>
      <c r="AA34" s="101" t="s">
        <v>226</v>
      </c>
    </row>
    <row r="35" spans="2:27" ht="12.75">
      <c r="B35" t="s">
        <v>17</v>
      </c>
      <c r="C35" s="129">
        <v>650</v>
      </c>
      <c r="D35" s="27"/>
      <c r="E35" s="27"/>
      <c r="G35" s="129">
        <v>9000</v>
      </c>
      <c r="H35" s="27"/>
      <c r="I35" s="27"/>
      <c r="K35" s="124">
        <f>(C35*C36)-L35</f>
        <v>2323.75</v>
      </c>
      <c r="L35" s="184">
        <f>C35*C36*C37/100</f>
        <v>2323.75</v>
      </c>
      <c r="P35" s="1" t="s">
        <v>14</v>
      </c>
      <c r="R35" s="18"/>
      <c r="S35" s="18"/>
      <c r="T35" s="18"/>
      <c r="U35" s="2"/>
      <c r="V35" s="18"/>
      <c r="W35" s="18"/>
      <c r="X35" s="18"/>
      <c r="Z35" s="17" t="s">
        <v>225</v>
      </c>
      <c r="AA35" s="101" t="s">
        <v>225</v>
      </c>
    </row>
    <row r="36" spans="2:27" ht="12.75">
      <c r="B36" t="s">
        <v>19</v>
      </c>
      <c r="C36" s="137">
        <v>7.15</v>
      </c>
      <c r="D36" s="27"/>
      <c r="E36" s="27"/>
      <c r="G36" s="137">
        <v>0.29</v>
      </c>
      <c r="H36" s="27"/>
      <c r="I36" s="27"/>
      <c r="K36" s="44"/>
      <c r="P36" s="1"/>
      <c r="Q36" t="s">
        <v>17</v>
      </c>
      <c r="R36" s="129">
        <v>6</v>
      </c>
      <c r="S36" s="27"/>
      <c r="T36" s="27"/>
      <c r="U36" s="2"/>
      <c r="V36" s="129"/>
      <c r="W36" s="27"/>
      <c r="X36" s="27"/>
      <c r="Z36" s="154">
        <f>(R36*R37)-AA36</f>
        <v>2100</v>
      </c>
      <c r="AA36" s="184">
        <f>R36*R37*R38/100</f>
        <v>0</v>
      </c>
    </row>
    <row r="37" spans="2:26" ht="12.75">
      <c r="B37" s="26" t="s">
        <v>223</v>
      </c>
      <c r="C37" s="132">
        <v>50</v>
      </c>
      <c r="D37" s="27"/>
      <c r="E37" s="27"/>
      <c r="G37" s="188">
        <v>20</v>
      </c>
      <c r="H37" s="27"/>
      <c r="I37" s="27"/>
      <c r="K37" s="44"/>
      <c r="P37" s="1"/>
      <c r="Q37" t="s">
        <v>19</v>
      </c>
      <c r="R37" s="131">
        <v>350</v>
      </c>
      <c r="S37" s="27"/>
      <c r="T37" s="27"/>
      <c r="U37" s="2"/>
      <c r="V37" s="136"/>
      <c r="W37" s="27"/>
      <c r="X37" s="27"/>
      <c r="Z37" s="44"/>
    </row>
    <row r="38" spans="2:26" ht="12.75">
      <c r="B38" t="s">
        <v>24</v>
      </c>
      <c r="C38" s="137">
        <v>1.8</v>
      </c>
      <c r="D38" s="27"/>
      <c r="E38" s="27"/>
      <c r="G38" s="137">
        <v>0.0327</v>
      </c>
      <c r="H38" s="27"/>
      <c r="I38" s="27"/>
      <c r="K38" s="155" t="str">
        <f>H32</f>
        <v>Cheeries Tart (2011)</v>
      </c>
      <c r="L38" s="6"/>
      <c r="P38" s="1"/>
      <c r="Q38" s="26" t="s">
        <v>223</v>
      </c>
      <c r="R38" s="132"/>
      <c r="S38" s="27"/>
      <c r="T38" s="27"/>
      <c r="U38" s="2"/>
      <c r="V38" s="132"/>
      <c r="W38" s="27"/>
      <c r="X38" s="27"/>
      <c r="Z38" s="44"/>
    </row>
    <row r="39" spans="1:27" ht="12.75">
      <c r="A39" s="1" t="s">
        <v>26</v>
      </c>
      <c r="C39" t="s">
        <v>382</v>
      </c>
      <c r="G39" t="s">
        <v>382</v>
      </c>
      <c r="H39" t="s">
        <v>381</v>
      </c>
      <c r="K39" s="156" t="s">
        <v>224</v>
      </c>
      <c r="L39" s="101" t="s">
        <v>226</v>
      </c>
      <c r="P39" s="1"/>
      <c r="Q39" t="s">
        <v>24</v>
      </c>
      <c r="R39" s="133">
        <v>40</v>
      </c>
      <c r="S39" s="27"/>
      <c r="T39" s="27"/>
      <c r="U39" s="2"/>
      <c r="V39" s="137"/>
      <c r="W39" s="27"/>
      <c r="X39" s="27"/>
      <c r="Z39" s="155">
        <f>W33</f>
        <v>0</v>
      </c>
      <c r="AA39" s="6"/>
    </row>
    <row r="40" spans="2:27" ht="12.75">
      <c r="B40" t="s">
        <v>28</v>
      </c>
      <c r="C40" s="129"/>
      <c r="D40" s="129"/>
      <c r="E40" s="134">
        <v>711.15</v>
      </c>
      <c r="G40" s="129"/>
      <c r="H40" s="129"/>
      <c r="I40" s="134">
        <v>900</v>
      </c>
      <c r="K40" s="156" t="s">
        <v>225</v>
      </c>
      <c r="L40" s="101" t="s">
        <v>225</v>
      </c>
      <c r="P40" s="1" t="s">
        <v>26</v>
      </c>
      <c r="R40" s="18" t="s">
        <v>382</v>
      </c>
      <c r="S40" s="18"/>
      <c r="T40" s="18"/>
      <c r="U40" s="2"/>
      <c r="V40" s="18" t="s">
        <v>382</v>
      </c>
      <c r="W40" s="18"/>
      <c r="X40" s="18"/>
      <c r="Z40" s="156" t="s">
        <v>224</v>
      </c>
      <c r="AA40" s="101" t="s">
        <v>226</v>
      </c>
    </row>
    <row r="41" spans="2:27" ht="12.75">
      <c r="B41" t="s">
        <v>29</v>
      </c>
      <c r="C41" s="129"/>
      <c r="D41" s="129"/>
      <c r="E41" s="134">
        <v>0</v>
      </c>
      <c r="G41" s="129"/>
      <c r="H41" s="129"/>
      <c r="I41" s="134">
        <v>150</v>
      </c>
      <c r="K41" s="124">
        <f>(G35*G36)-L41</f>
        <v>2088</v>
      </c>
      <c r="L41" s="184">
        <f>G35*G36*G37/100</f>
        <v>522</v>
      </c>
      <c r="P41" s="1"/>
      <c r="Q41" t="s">
        <v>28</v>
      </c>
      <c r="R41" s="129"/>
      <c r="S41" s="129"/>
      <c r="T41" s="134">
        <v>25</v>
      </c>
      <c r="U41" s="2"/>
      <c r="V41" s="129"/>
      <c r="W41" s="129"/>
      <c r="X41" s="134"/>
      <c r="Z41" s="156" t="s">
        <v>225</v>
      </c>
      <c r="AA41" s="101" t="s">
        <v>225</v>
      </c>
    </row>
    <row r="42" spans="2:27" ht="12.75">
      <c r="B42" t="s">
        <v>31</v>
      </c>
      <c r="C42" s="129">
        <v>13.61</v>
      </c>
      <c r="D42" s="129">
        <v>13.61</v>
      </c>
      <c r="E42" s="134">
        <v>1361.25</v>
      </c>
      <c r="G42" s="129"/>
      <c r="H42" s="129">
        <v>10.24</v>
      </c>
      <c r="I42" s="134">
        <v>1031.25</v>
      </c>
      <c r="P42" s="1"/>
      <c r="Q42" t="s">
        <v>29</v>
      </c>
      <c r="R42" s="129"/>
      <c r="S42" s="129"/>
      <c r="T42" s="134"/>
      <c r="U42" s="2"/>
      <c r="V42" s="129"/>
      <c r="W42" s="129"/>
      <c r="X42" s="134"/>
      <c r="Z42" s="154">
        <f>(V36*V37)-AA42</f>
        <v>0</v>
      </c>
      <c r="AA42" s="184">
        <f>V36*V37*V38/100</f>
        <v>0</v>
      </c>
    </row>
    <row r="43" spans="2:24" ht="12.75">
      <c r="B43" t="s">
        <v>33</v>
      </c>
      <c r="C43" s="129"/>
      <c r="D43" s="129">
        <v>10</v>
      </c>
      <c r="E43" s="134">
        <v>10</v>
      </c>
      <c r="G43" s="129"/>
      <c r="H43" s="129"/>
      <c r="I43" s="134">
        <v>0</v>
      </c>
      <c r="P43" s="1"/>
      <c r="Q43" t="s">
        <v>281</v>
      </c>
      <c r="R43" s="129"/>
      <c r="S43" s="129">
        <v>5.23</v>
      </c>
      <c r="T43" s="134">
        <v>574.75</v>
      </c>
      <c r="U43" s="2"/>
      <c r="V43" s="129"/>
      <c r="W43" s="129"/>
      <c r="X43" s="134"/>
    </row>
    <row r="44" spans="2:24" ht="12.75">
      <c r="B44" t="s">
        <v>34</v>
      </c>
      <c r="C44" s="129">
        <v>50.2</v>
      </c>
      <c r="D44" s="129">
        <v>3.4</v>
      </c>
      <c r="E44" s="134">
        <v>106.13</v>
      </c>
      <c r="G44" s="129">
        <v>93.1</v>
      </c>
      <c r="H44" s="129">
        <v>42</v>
      </c>
      <c r="I44" s="134">
        <v>37</v>
      </c>
      <c r="P44" s="1"/>
      <c r="Q44" t="s">
        <v>33</v>
      </c>
      <c r="R44" s="129"/>
      <c r="S44" s="129"/>
      <c r="T44" s="134">
        <v>1963.84</v>
      </c>
      <c r="U44" s="2"/>
      <c r="V44" s="129"/>
      <c r="W44" s="129"/>
      <c r="X44" s="134"/>
    </row>
    <row r="45" spans="2:24" ht="12.75">
      <c r="B45" t="s">
        <v>35</v>
      </c>
      <c r="C45" s="129">
        <v>977.18</v>
      </c>
      <c r="D45" s="129">
        <v>404.27</v>
      </c>
      <c r="E45" s="134">
        <v>68.37</v>
      </c>
      <c r="G45" s="129">
        <v>245.52</v>
      </c>
      <c r="H45" s="129">
        <v>164</v>
      </c>
      <c r="I45" s="134">
        <v>156.31</v>
      </c>
      <c r="P45" s="1"/>
      <c r="Q45" t="s">
        <v>34</v>
      </c>
      <c r="R45" s="129">
        <v>95</v>
      </c>
      <c r="S45" s="129">
        <v>27.75</v>
      </c>
      <c r="T45" s="134">
        <v>95.75</v>
      </c>
      <c r="U45" s="2"/>
      <c r="V45" s="129"/>
      <c r="W45" s="129"/>
      <c r="X45" s="134"/>
    </row>
    <row r="46" spans="2:24" ht="12.75">
      <c r="B46" t="s">
        <v>37</v>
      </c>
      <c r="C46" s="129">
        <v>0</v>
      </c>
      <c r="D46" s="129">
        <v>0</v>
      </c>
      <c r="E46" s="134">
        <v>56.38</v>
      </c>
      <c r="G46" s="129">
        <v>54</v>
      </c>
      <c r="H46" s="129">
        <v>0</v>
      </c>
      <c r="I46" s="134">
        <v>200</v>
      </c>
      <c r="P46" s="1"/>
      <c r="Q46" t="s">
        <v>35</v>
      </c>
      <c r="R46" s="129">
        <v>161.79</v>
      </c>
      <c r="S46" s="129">
        <v>106.12</v>
      </c>
      <c r="T46" s="134">
        <v>242.59</v>
      </c>
      <c r="U46" s="2"/>
      <c r="V46" s="129"/>
      <c r="W46" s="129"/>
      <c r="X46" s="134"/>
    </row>
    <row r="47" spans="2:24" ht="12.75">
      <c r="B47" t="s">
        <v>97</v>
      </c>
      <c r="C47" s="129">
        <v>822.13</v>
      </c>
      <c r="D47" s="129">
        <v>331.7</v>
      </c>
      <c r="E47" s="134">
        <v>442.06</v>
      </c>
      <c r="G47" s="129">
        <v>369.15</v>
      </c>
      <c r="H47" s="129">
        <v>84.55</v>
      </c>
      <c r="I47" s="134">
        <v>140.02</v>
      </c>
      <c r="P47" s="1"/>
      <c r="Q47" t="s">
        <v>37</v>
      </c>
      <c r="R47" s="129">
        <v>232.95</v>
      </c>
      <c r="S47" s="129">
        <v>2</v>
      </c>
      <c r="T47" s="134">
        <v>4</v>
      </c>
      <c r="U47" s="2"/>
      <c r="V47" s="129"/>
      <c r="W47" s="129"/>
      <c r="X47" s="134"/>
    </row>
    <row r="48" spans="2:24" ht="12.75">
      <c r="B48" t="s">
        <v>38</v>
      </c>
      <c r="C48" s="129">
        <v>0</v>
      </c>
      <c r="D48" s="129"/>
      <c r="E48" s="134"/>
      <c r="G48" s="134">
        <v>189</v>
      </c>
      <c r="H48" s="129"/>
      <c r="I48" s="134">
        <v>0</v>
      </c>
      <c r="P48" s="1"/>
      <c r="Q48" t="s">
        <v>97</v>
      </c>
      <c r="R48" s="129">
        <v>750.24</v>
      </c>
      <c r="S48" s="129">
        <v>729.62</v>
      </c>
      <c r="T48" s="134">
        <v>1544.11</v>
      </c>
      <c r="U48" s="2"/>
      <c r="V48" s="129"/>
      <c r="W48" s="129"/>
      <c r="X48" s="134"/>
    </row>
    <row r="49" spans="2:24" ht="12.75">
      <c r="B49" t="s">
        <v>39</v>
      </c>
      <c r="C49" s="129">
        <v>28</v>
      </c>
      <c r="D49" s="129"/>
      <c r="E49" s="134"/>
      <c r="G49" s="134"/>
      <c r="H49" s="129"/>
      <c r="I49" s="134"/>
      <c r="P49" s="1"/>
      <c r="Q49" t="s">
        <v>38</v>
      </c>
      <c r="R49" s="129">
        <v>47.5</v>
      </c>
      <c r="S49" s="129"/>
      <c r="T49" s="134"/>
      <c r="U49" s="30"/>
      <c r="V49" s="129"/>
      <c r="W49" s="129"/>
      <c r="X49" s="134"/>
    </row>
    <row r="50" spans="2:24" ht="12.75">
      <c r="B50" t="s">
        <v>98</v>
      </c>
      <c r="C50" s="134"/>
      <c r="D50" s="135"/>
      <c r="E50" s="134"/>
      <c r="G50" s="134"/>
      <c r="H50" s="135"/>
      <c r="I50" s="134"/>
      <c r="K50" t="s">
        <v>227</v>
      </c>
      <c r="P50" s="1"/>
      <c r="Q50" t="s">
        <v>39</v>
      </c>
      <c r="R50" s="129"/>
      <c r="S50" s="129"/>
      <c r="T50" s="134"/>
      <c r="U50" s="2"/>
      <c r="V50" s="129"/>
      <c r="W50" s="129"/>
      <c r="X50" s="134"/>
    </row>
    <row r="51" spans="2:26" ht="12.75">
      <c r="B51" s="26" t="s">
        <v>40</v>
      </c>
      <c r="C51" s="31">
        <f>C38*C35</f>
        <v>1170</v>
      </c>
      <c r="D51" s="32"/>
      <c r="E51" s="33"/>
      <c r="G51" s="31">
        <f>G38*G35</f>
        <v>294.3</v>
      </c>
      <c r="H51" s="32"/>
      <c r="I51" s="34"/>
      <c r="K51" t="s">
        <v>228</v>
      </c>
      <c r="P51" s="1"/>
      <c r="Q51" t="s">
        <v>98</v>
      </c>
      <c r="R51" s="135">
        <v>0</v>
      </c>
      <c r="S51" s="135"/>
      <c r="T51" s="134"/>
      <c r="U51" s="2"/>
      <c r="V51" s="134"/>
      <c r="W51" s="135"/>
      <c r="X51" s="134"/>
      <c r="Z51" t="s">
        <v>227</v>
      </c>
    </row>
    <row r="52" spans="2:26" ht="12.75">
      <c r="B52" s="7" t="s">
        <v>41</v>
      </c>
      <c r="C52" s="35">
        <f aca="true" t="shared" si="4" ref="C52:I52">SUM(C40:C51)</f>
        <v>3061.12</v>
      </c>
      <c r="D52" s="35">
        <f t="shared" si="4"/>
        <v>762.98</v>
      </c>
      <c r="E52" s="35">
        <f t="shared" si="4"/>
        <v>2755.34</v>
      </c>
      <c r="F52" s="35">
        <f t="shared" si="4"/>
        <v>0</v>
      </c>
      <c r="G52" s="35">
        <f t="shared" si="4"/>
        <v>1245.07</v>
      </c>
      <c r="H52" s="35">
        <f t="shared" si="4"/>
        <v>300.79</v>
      </c>
      <c r="I52" s="35">
        <f t="shared" si="4"/>
        <v>2614.58</v>
      </c>
      <c r="K52" t="s">
        <v>229</v>
      </c>
      <c r="P52" s="1"/>
      <c r="Q52" s="26" t="s">
        <v>40</v>
      </c>
      <c r="R52" s="31">
        <f>R39*R36</f>
        <v>240</v>
      </c>
      <c r="S52" s="32"/>
      <c r="T52" s="33"/>
      <c r="U52" s="2"/>
      <c r="V52" s="31">
        <f>V39*V36</f>
        <v>0</v>
      </c>
      <c r="W52" s="32"/>
      <c r="X52" s="34"/>
      <c r="Z52" t="s">
        <v>228</v>
      </c>
    </row>
    <row r="53" spans="11:26" ht="12.75">
      <c r="K53" t="s">
        <v>230</v>
      </c>
      <c r="P53" s="1"/>
      <c r="Q53" s="7" t="s">
        <v>41</v>
      </c>
      <c r="R53" s="35">
        <f aca="true" t="shared" si="5" ref="R53:X53">SUM(R41:R52)</f>
        <v>1527.48</v>
      </c>
      <c r="S53" s="35">
        <f t="shared" si="5"/>
        <v>870.72</v>
      </c>
      <c r="T53" s="35">
        <f t="shared" si="5"/>
        <v>4450.04</v>
      </c>
      <c r="U53" s="35">
        <f t="shared" si="5"/>
        <v>0</v>
      </c>
      <c r="V53" s="35">
        <f t="shared" si="5"/>
        <v>0</v>
      </c>
      <c r="W53" s="35">
        <f t="shared" si="5"/>
        <v>0</v>
      </c>
      <c r="X53" s="35">
        <f t="shared" si="5"/>
        <v>0</v>
      </c>
      <c r="Z53" t="s">
        <v>229</v>
      </c>
    </row>
    <row r="54" spans="1:26" ht="12.75">
      <c r="A54" s="1" t="s">
        <v>63</v>
      </c>
      <c r="C54" s="36">
        <f>(C35*C36)-C52</f>
        <v>1586.38</v>
      </c>
      <c r="D54" s="36">
        <f aca="true" t="shared" si="6" ref="D54:I54">(D35*D36)-D52</f>
        <v>-762.98</v>
      </c>
      <c r="E54" s="36">
        <f t="shared" si="6"/>
        <v>-2755.34</v>
      </c>
      <c r="F54" s="36">
        <f t="shared" si="6"/>
        <v>0</v>
      </c>
      <c r="G54" s="36">
        <f t="shared" si="6"/>
        <v>1364.93</v>
      </c>
      <c r="H54" s="36">
        <f t="shared" si="6"/>
        <v>-300.79</v>
      </c>
      <c r="I54" s="36">
        <f t="shared" si="6"/>
        <v>-2614.58</v>
      </c>
      <c r="K54" t="s">
        <v>231</v>
      </c>
      <c r="P54" s="1"/>
      <c r="R54" s="18"/>
      <c r="S54" s="18"/>
      <c r="T54" s="18"/>
      <c r="U54" s="2"/>
      <c r="V54" s="18"/>
      <c r="Z54" t="s">
        <v>230</v>
      </c>
    </row>
    <row r="55" spans="16:26" ht="12.75">
      <c r="P55" s="1" t="s">
        <v>63</v>
      </c>
      <c r="R55" s="36">
        <f>(R36*R37)-R53</f>
        <v>572.52</v>
      </c>
      <c r="S55" s="36">
        <f aca="true" t="shared" si="7" ref="S55:X55">(S36*S37)-S53</f>
        <v>-870.72</v>
      </c>
      <c r="T55" s="36">
        <f t="shared" si="7"/>
        <v>-4450.04</v>
      </c>
      <c r="U55" s="36">
        <f t="shared" si="7"/>
        <v>0</v>
      </c>
      <c r="V55" s="36">
        <f t="shared" si="7"/>
        <v>0</v>
      </c>
      <c r="W55" s="36">
        <f t="shared" si="7"/>
        <v>0</v>
      </c>
      <c r="X55" s="36">
        <f t="shared" si="7"/>
        <v>0</v>
      </c>
      <c r="Z55" t="s">
        <v>231</v>
      </c>
    </row>
    <row r="56" ht="12.75">
      <c r="F56" s="2" t="s">
        <v>6</v>
      </c>
    </row>
    <row r="57" spans="3:21" ht="12.75">
      <c r="C57" s="22" t="s">
        <v>7</v>
      </c>
      <c r="D57" s="130" t="s">
        <v>435</v>
      </c>
      <c r="E57" s="23"/>
      <c r="G57" s="22" t="s">
        <v>7</v>
      </c>
      <c r="H57" s="130" t="s">
        <v>407</v>
      </c>
      <c r="I57" s="23"/>
      <c r="K57" s="24" t="str">
        <f>D57</f>
        <v>Wine Grapes (2007)</v>
      </c>
      <c r="L57" s="6"/>
      <c r="P57" s="1"/>
      <c r="U57" s="2" t="s">
        <v>6</v>
      </c>
    </row>
    <row r="58" spans="3:27" ht="12.75">
      <c r="C58" s="22" t="s">
        <v>9</v>
      </c>
      <c r="D58" s="22" t="s">
        <v>10</v>
      </c>
      <c r="E58" s="22" t="s">
        <v>11</v>
      </c>
      <c r="G58" s="22" t="s">
        <v>9</v>
      </c>
      <c r="H58" s="22" t="s">
        <v>10</v>
      </c>
      <c r="I58" s="37" t="s">
        <v>11</v>
      </c>
      <c r="K58" s="17" t="s">
        <v>224</v>
      </c>
      <c r="L58" s="101" t="s">
        <v>226</v>
      </c>
      <c r="P58" s="1"/>
      <c r="R58" s="22" t="s">
        <v>7</v>
      </c>
      <c r="S58" s="130" t="s">
        <v>383</v>
      </c>
      <c r="T58" s="23"/>
      <c r="U58" s="2"/>
      <c r="V58" s="22" t="s">
        <v>7</v>
      </c>
      <c r="W58" s="130"/>
      <c r="X58" s="23"/>
      <c r="Z58" s="24" t="str">
        <f>S58</f>
        <v>Peaches-Penn 2002</v>
      </c>
      <c r="AA58" s="6"/>
    </row>
    <row r="59" spans="1:27" ht="12.75">
      <c r="A59" s="1" t="s">
        <v>14</v>
      </c>
      <c r="C59" t="s">
        <v>374</v>
      </c>
      <c r="K59" s="17" t="s">
        <v>225</v>
      </c>
      <c r="L59" s="101" t="s">
        <v>225</v>
      </c>
      <c r="P59" s="1"/>
      <c r="R59" s="22" t="s">
        <v>9</v>
      </c>
      <c r="S59" s="22" t="s">
        <v>10</v>
      </c>
      <c r="T59" s="22" t="s">
        <v>11</v>
      </c>
      <c r="U59" s="2"/>
      <c r="V59" s="22" t="s">
        <v>9</v>
      </c>
      <c r="W59" s="22" t="s">
        <v>10</v>
      </c>
      <c r="X59" s="22" t="s">
        <v>11</v>
      </c>
      <c r="Z59" s="17" t="s">
        <v>224</v>
      </c>
      <c r="AA59" s="101" t="s">
        <v>226</v>
      </c>
    </row>
    <row r="60" spans="2:27" ht="12.75">
      <c r="B60" t="s">
        <v>17</v>
      </c>
      <c r="C60" s="129">
        <v>3</v>
      </c>
      <c r="D60" s="27"/>
      <c r="E60" s="27"/>
      <c r="G60" s="129">
        <v>6500</v>
      </c>
      <c r="H60" s="27"/>
      <c r="I60" s="27"/>
      <c r="K60" s="124">
        <f>(C60*C61)-L60</f>
        <v>3600</v>
      </c>
      <c r="L60" s="184">
        <f>C60*C61*C62/100</f>
        <v>0</v>
      </c>
      <c r="P60" s="1" t="s">
        <v>14</v>
      </c>
      <c r="R60" s="18"/>
      <c r="S60" s="18"/>
      <c r="T60" s="18"/>
      <c r="U60" s="2"/>
      <c r="V60" s="18"/>
      <c r="W60" s="18"/>
      <c r="X60" s="18"/>
      <c r="Z60" s="17" t="s">
        <v>225</v>
      </c>
      <c r="AA60" s="101" t="s">
        <v>225</v>
      </c>
    </row>
    <row r="61" spans="2:27" ht="12.75">
      <c r="B61" t="s">
        <v>19</v>
      </c>
      <c r="C61" s="137">
        <v>1200</v>
      </c>
      <c r="D61" s="27"/>
      <c r="E61" s="27"/>
      <c r="G61" s="137">
        <v>0.31</v>
      </c>
      <c r="H61" s="27"/>
      <c r="I61" s="27"/>
      <c r="K61" s="44"/>
      <c r="P61" s="1"/>
      <c r="Q61" t="s">
        <v>17</v>
      </c>
      <c r="R61" s="129">
        <v>100</v>
      </c>
      <c r="S61" s="27"/>
      <c r="T61" s="27"/>
      <c r="U61" s="2"/>
      <c r="V61" s="129"/>
      <c r="W61" s="27"/>
      <c r="X61" s="27"/>
      <c r="Z61" s="154">
        <f>(R61*R62)-AA61</f>
        <v>1500</v>
      </c>
      <c r="AA61" s="184">
        <f>R61*R62*R63/100</f>
        <v>0</v>
      </c>
    </row>
    <row r="62" spans="2:26" ht="12.75">
      <c r="B62" s="26" t="s">
        <v>223</v>
      </c>
      <c r="C62" s="132"/>
      <c r="D62" s="27"/>
      <c r="E62" s="27"/>
      <c r="G62" s="132">
        <v>20</v>
      </c>
      <c r="H62" s="27"/>
      <c r="I62" s="27"/>
      <c r="K62" s="44"/>
      <c r="P62" s="1"/>
      <c r="Q62" t="s">
        <v>19</v>
      </c>
      <c r="R62" s="131">
        <v>15</v>
      </c>
      <c r="S62" s="27"/>
      <c r="T62" s="27"/>
      <c r="U62" s="2"/>
      <c r="V62" s="136"/>
      <c r="W62" s="27"/>
      <c r="X62" s="27"/>
      <c r="Z62" s="44"/>
    </row>
    <row r="63" spans="2:26" ht="12.75">
      <c r="B63" t="s">
        <v>24</v>
      </c>
      <c r="C63" s="137">
        <v>75</v>
      </c>
      <c r="D63" s="27"/>
      <c r="E63" s="27"/>
      <c r="G63" s="137">
        <v>0.053</v>
      </c>
      <c r="H63" s="27"/>
      <c r="I63" s="27"/>
      <c r="K63" s="155" t="str">
        <f>H57</f>
        <v>Swt. Ch. Brine-2011</v>
      </c>
      <c r="L63" s="6"/>
      <c r="P63" s="1"/>
      <c r="Q63" s="26" t="s">
        <v>223</v>
      </c>
      <c r="R63" s="132"/>
      <c r="S63" s="27"/>
      <c r="T63" s="27"/>
      <c r="U63" s="2"/>
      <c r="V63" s="132"/>
      <c r="W63" s="27"/>
      <c r="X63" s="27"/>
      <c r="Z63" s="44"/>
    </row>
    <row r="64" spans="1:27" ht="12.75">
      <c r="A64" s="1" t="s">
        <v>26</v>
      </c>
      <c r="K64" s="156" t="s">
        <v>224</v>
      </c>
      <c r="L64" s="101" t="s">
        <v>226</v>
      </c>
      <c r="P64" s="1"/>
      <c r="Q64" t="s">
        <v>24</v>
      </c>
      <c r="R64" s="133">
        <v>0.5</v>
      </c>
      <c r="S64" s="27"/>
      <c r="T64" s="27"/>
      <c r="U64" s="2"/>
      <c r="V64" s="137"/>
      <c r="W64" s="27"/>
      <c r="X64" s="27"/>
      <c r="Z64" s="155">
        <f>W58</f>
        <v>0</v>
      </c>
      <c r="AA64" s="6"/>
    </row>
    <row r="65" spans="2:27" ht="12.75">
      <c r="B65" t="s">
        <v>28</v>
      </c>
      <c r="C65" s="129"/>
      <c r="D65" s="129"/>
      <c r="E65" s="134">
        <v>360</v>
      </c>
      <c r="G65" s="129"/>
      <c r="H65" s="129"/>
      <c r="I65" s="134">
        <v>900</v>
      </c>
      <c r="K65" s="156" t="s">
        <v>225</v>
      </c>
      <c r="L65" s="101" t="s">
        <v>225</v>
      </c>
      <c r="P65" s="1" t="s">
        <v>26</v>
      </c>
      <c r="R65" s="18" t="s">
        <v>382</v>
      </c>
      <c r="S65" s="18"/>
      <c r="T65" s="18"/>
      <c r="U65" s="2"/>
      <c r="V65" s="18" t="s">
        <v>382</v>
      </c>
      <c r="W65" s="18"/>
      <c r="X65" s="18"/>
      <c r="Z65" s="156" t="s">
        <v>224</v>
      </c>
      <c r="AA65" s="101" t="s">
        <v>226</v>
      </c>
    </row>
    <row r="66" spans="2:27" ht="12.75">
      <c r="B66" t="s">
        <v>29</v>
      </c>
      <c r="C66" s="129"/>
      <c r="D66" s="129"/>
      <c r="E66" s="134"/>
      <c r="G66" s="129"/>
      <c r="H66" s="129"/>
      <c r="I66" s="134">
        <v>150</v>
      </c>
      <c r="K66" s="124">
        <f>(G60*G61)-L66</f>
        <v>1612</v>
      </c>
      <c r="L66" s="184">
        <f>G60*G61*G62/100</f>
        <v>403</v>
      </c>
      <c r="P66" s="1"/>
      <c r="Q66" t="s">
        <v>28</v>
      </c>
      <c r="R66" s="129"/>
      <c r="S66" s="129"/>
      <c r="T66" s="134"/>
      <c r="U66" s="2"/>
      <c r="V66" s="129"/>
      <c r="W66" s="129"/>
      <c r="X66" s="134"/>
      <c r="Z66" s="156" t="s">
        <v>225</v>
      </c>
      <c r="AA66" s="101" t="s">
        <v>225</v>
      </c>
    </row>
    <row r="67" spans="2:27" ht="12.75">
      <c r="B67" t="s">
        <v>31</v>
      </c>
      <c r="C67" s="129"/>
      <c r="D67" s="129">
        <v>27.5</v>
      </c>
      <c r="E67" s="134">
        <v>4030</v>
      </c>
      <c r="G67" s="129"/>
      <c r="H67" s="129">
        <v>15.7</v>
      </c>
      <c r="I67" s="134">
        <v>866.34</v>
      </c>
      <c r="P67" s="1"/>
      <c r="Q67" t="s">
        <v>29</v>
      </c>
      <c r="R67" s="129"/>
      <c r="S67" s="129"/>
      <c r="T67" s="134"/>
      <c r="U67" s="2"/>
      <c r="V67" s="129"/>
      <c r="W67" s="129"/>
      <c r="X67" s="134"/>
      <c r="Z67" s="154">
        <f>(V61*V62)-AA67</f>
        <v>0</v>
      </c>
      <c r="AA67" s="184">
        <f>V61*V62*V63/100</f>
        <v>0</v>
      </c>
    </row>
    <row r="68" spans="2:24" ht="12.75">
      <c r="B68" t="s">
        <v>33</v>
      </c>
      <c r="C68" s="129"/>
      <c r="D68" s="129"/>
      <c r="E68" s="134">
        <v>2474.45</v>
      </c>
      <c r="G68" s="129"/>
      <c r="H68" s="129"/>
      <c r="I68" s="134">
        <v>0</v>
      </c>
      <c r="P68" s="1"/>
      <c r="Q68" t="s">
        <v>281</v>
      </c>
      <c r="R68" s="129"/>
      <c r="S68" s="129">
        <v>22</v>
      </c>
      <c r="T68" s="134">
        <v>675</v>
      </c>
      <c r="U68" s="2"/>
      <c r="V68" s="129"/>
      <c r="W68" s="129"/>
      <c r="X68" s="134"/>
    </row>
    <row r="69" spans="2:24" ht="12.75">
      <c r="B69" t="s">
        <v>34</v>
      </c>
      <c r="C69" s="129">
        <v>75.5</v>
      </c>
      <c r="D69" s="129">
        <v>27.75</v>
      </c>
      <c r="E69" s="134">
        <v>95.75</v>
      </c>
      <c r="G69" s="129">
        <v>101.06</v>
      </c>
      <c r="H69" s="129">
        <v>35</v>
      </c>
      <c r="I69" s="134">
        <v>37</v>
      </c>
      <c r="P69" s="1"/>
      <c r="Q69" t="s">
        <v>33</v>
      </c>
      <c r="R69" s="129"/>
      <c r="S69" s="129"/>
      <c r="T69" s="134"/>
      <c r="U69" s="2"/>
      <c r="V69" s="129"/>
      <c r="W69" s="129"/>
      <c r="X69" s="134"/>
    </row>
    <row r="70" spans="2:24" ht="12.75">
      <c r="B70" t="s">
        <v>35</v>
      </c>
      <c r="C70" s="129">
        <v>264.73</v>
      </c>
      <c r="D70" s="129">
        <v>64.48</v>
      </c>
      <c r="E70" s="134">
        <v>256</v>
      </c>
      <c r="G70" s="129">
        <v>279.01</v>
      </c>
      <c r="H70" s="129">
        <v>122.53</v>
      </c>
      <c r="I70" s="134">
        <v>148.05</v>
      </c>
      <c r="P70" s="1"/>
      <c r="Q70" t="s">
        <v>34</v>
      </c>
      <c r="R70" s="129">
        <v>14</v>
      </c>
      <c r="S70" s="129">
        <v>25</v>
      </c>
      <c r="T70" s="134">
        <v>40</v>
      </c>
      <c r="U70" s="2"/>
      <c r="V70" s="129"/>
      <c r="W70" s="129"/>
      <c r="X70" s="134"/>
    </row>
    <row r="71" spans="2:24" ht="12.75">
      <c r="B71" t="s">
        <v>37</v>
      </c>
      <c r="C71" s="129">
        <v>223.5</v>
      </c>
      <c r="D71" s="129">
        <v>58.42</v>
      </c>
      <c r="E71" s="134">
        <v>2</v>
      </c>
      <c r="G71" s="129">
        <v>39</v>
      </c>
      <c r="H71" s="129">
        <v>0</v>
      </c>
      <c r="I71" s="134">
        <v>178.11</v>
      </c>
      <c r="P71" s="1"/>
      <c r="Q71" t="s">
        <v>35</v>
      </c>
      <c r="R71" s="129">
        <v>125</v>
      </c>
      <c r="S71" s="129">
        <v>50</v>
      </c>
      <c r="T71" s="134">
        <v>50</v>
      </c>
      <c r="U71" s="2"/>
      <c r="V71" s="129"/>
      <c r="W71" s="129"/>
      <c r="X71" s="134"/>
    </row>
    <row r="72" spans="2:24" ht="12.75">
      <c r="B72" t="s">
        <v>97</v>
      </c>
      <c r="C72" s="129">
        <v>678.94</v>
      </c>
      <c r="D72" s="129">
        <v>622.55</v>
      </c>
      <c r="E72" s="134">
        <v>2957.03</v>
      </c>
      <c r="G72" s="129">
        <v>465.86</v>
      </c>
      <c r="H72" s="129">
        <v>93.01</v>
      </c>
      <c r="I72" s="134">
        <v>140.02</v>
      </c>
      <c r="P72" s="1"/>
      <c r="Q72" t="s">
        <v>37</v>
      </c>
      <c r="R72" s="129">
        <v>160</v>
      </c>
      <c r="S72" s="129">
        <v>10</v>
      </c>
      <c r="T72" s="134">
        <v>10</v>
      </c>
      <c r="U72" s="2"/>
      <c r="V72" s="129"/>
      <c r="W72" s="129"/>
      <c r="X72" s="134"/>
    </row>
    <row r="73" spans="2:24" ht="12.75">
      <c r="B73" t="s">
        <v>38</v>
      </c>
      <c r="C73" s="134">
        <v>47.5</v>
      </c>
      <c r="D73" s="129"/>
      <c r="E73" s="134"/>
      <c r="G73" s="134">
        <v>149.5</v>
      </c>
      <c r="H73" s="129"/>
      <c r="I73" s="134"/>
      <c r="P73" s="1"/>
      <c r="Q73" t="s">
        <v>97</v>
      </c>
      <c r="R73" s="129">
        <v>75</v>
      </c>
      <c r="S73" s="129">
        <v>0</v>
      </c>
      <c r="T73" s="134">
        <v>0</v>
      </c>
      <c r="U73" s="2"/>
      <c r="V73" s="129"/>
      <c r="W73" s="129"/>
      <c r="X73" s="134"/>
    </row>
    <row r="74" spans="2:24" ht="12.75">
      <c r="B74" t="s">
        <v>39</v>
      </c>
      <c r="C74" s="134"/>
      <c r="D74" s="129"/>
      <c r="E74" s="134"/>
      <c r="G74" s="134"/>
      <c r="H74" s="129"/>
      <c r="I74" s="134"/>
      <c r="P74" s="1"/>
      <c r="Q74" t="s">
        <v>38</v>
      </c>
      <c r="R74" s="134">
        <v>0</v>
      </c>
      <c r="S74" s="129"/>
      <c r="T74" s="134"/>
      <c r="U74" s="30"/>
      <c r="V74" s="129"/>
      <c r="W74" s="129"/>
      <c r="X74" s="134"/>
    </row>
    <row r="75" spans="2:24" ht="12.75">
      <c r="B75" t="s">
        <v>98</v>
      </c>
      <c r="C75" s="134"/>
      <c r="D75" s="135"/>
      <c r="E75" s="134"/>
      <c r="G75" s="129"/>
      <c r="H75" s="129"/>
      <c r="I75" s="134"/>
      <c r="K75" t="s">
        <v>227</v>
      </c>
      <c r="P75" s="1"/>
      <c r="Q75" t="s">
        <v>39</v>
      </c>
      <c r="R75" s="134">
        <v>0</v>
      </c>
      <c r="S75" s="129"/>
      <c r="T75" s="134"/>
      <c r="U75" s="2"/>
      <c r="V75" s="129"/>
      <c r="W75" s="129"/>
      <c r="X75" s="134"/>
    </row>
    <row r="76" spans="2:26" ht="12.75">
      <c r="B76" s="26" t="s">
        <v>40</v>
      </c>
      <c r="C76" s="31">
        <f>C63*C60</f>
        <v>225</v>
      </c>
      <c r="D76" s="32"/>
      <c r="E76" s="33"/>
      <c r="G76" s="31">
        <f>G63*G60</f>
        <v>344.5</v>
      </c>
      <c r="H76" s="32"/>
      <c r="I76" s="34"/>
      <c r="K76" t="s">
        <v>228</v>
      </c>
      <c r="P76" s="1"/>
      <c r="Q76" t="s">
        <v>98</v>
      </c>
      <c r="R76" s="134" t="s">
        <v>375</v>
      </c>
      <c r="S76" s="135"/>
      <c r="T76" s="134"/>
      <c r="U76" s="2"/>
      <c r="V76" s="134"/>
      <c r="W76" s="135"/>
      <c r="X76" s="134"/>
      <c r="Z76" t="s">
        <v>227</v>
      </c>
    </row>
    <row r="77" spans="2:26" ht="12.75">
      <c r="B77" s="7" t="s">
        <v>41</v>
      </c>
      <c r="C77" s="35">
        <f aca="true" t="shared" si="8" ref="C77:I77">SUM(C65:C76)</f>
        <v>1515.17</v>
      </c>
      <c r="D77" s="35">
        <f t="shared" si="8"/>
        <v>800.6999999999999</v>
      </c>
      <c r="E77" s="35">
        <f t="shared" si="8"/>
        <v>10175.23</v>
      </c>
      <c r="F77" s="35">
        <f t="shared" si="8"/>
        <v>0</v>
      </c>
      <c r="G77" s="35">
        <f t="shared" si="8"/>
        <v>1378.93</v>
      </c>
      <c r="H77" s="35">
        <f t="shared" si="8"/>
        <v>266.24</v>
      </c>
      <c r="I77" s="35">
        <f t="shared" si="8"/>
        <v>2419.5200000000004</v>
      </c>
      <c r="K77" t="s">
        <v>229</v>
      </c>
      <c r="P77" s="1"/>
      <c r="Q77" s="26" t="s">
        <v>40</v>
      </c>
      <c r="R77" s="31">
        <f>R64*R61</f>
        <v>50</v>
      </c>
      <c r="S77" s="32"/>
      <c r="T77" s="33"/>
      <c r="U77" s="2"/>
      <c r="V77" s="31">
        <f>V64*V61</f>
        <v>0</v>
      </c>
      <c r="W77" s="32"/>
      <c r="X77" s="34"/>
      <c r="Z77" t="s">
        <v>228</v>
      </c>
    </row>
    <row r="78" spans="11:26" ht="12.75">
      <c r="K78" t="s">
        <v>230</v>
      </c>
      <c r="P78" s="1"/>
      <c r="Q78" s="7" t="s">
        <v>41</v>
      </c>
      <c r="R78" s="35">
        <f aca="true" t="shared" si="9" ref="R78:X78">SUM(R66:R77)</f>
        <v>424</v>
      </c>
      <c r="S78" s="35">
        <f t="shared" si="9"/>
        <v>107</v>
      </c>
      <c r="T78" s="35">
        <f t="shared" si="9"/>
        <v>775</v>
      </c>
      <c r="U78" s="35">
        <f t="shared" si="9"/>
        <v>0</v>
      </c>
      <c r="V78" s="35">
        <f t="shared" si="9"/>
        <v>0</v>
      </c>
      <c r="W78" s="35">
        <f t="shared" si="9"/>
        <v>0</v>
      </c>
      <c r="X78" s="35">
        <f t="shared" si="9"/>
        <v>0</v>
      </c>
      <c r="Z78" t="s">
        <v>229</v>
      </c>
    </row>
    <row r="79" spans="1:26" ht="12.75">
      <c r="A79" s="1" t="s">
        <v>63</v>
      </c>
      <c r="C79" s="36">
        <f>(C60*C61)-C77</f>
        <v>2084.83</v>
      </c>
      <c r="D79" s="36">
        <f aca="true" t="shared" si="10" ref="D79:I79">(D60*D61)-D77</f>
        <v>-800.6999999999999</v>
      </c>
      <c r="E79" s="36">
        <f t="shared" si="10"/>
        <v>-10175.23</v>
      </c>
      <c r="F79" s="36">
        <f t="shared" si="10"/>
        <v>0</v>
      </c>
      <c r="G79" s="36">
        <f t="shared" si="10"/>
        <v>636.0699999999999</v>
      </c>
      <c r="H79" s="36">
        <f t="shared" si="10"/>
        <v>-266.24</v>
      </c>
      <c r="I79" s="36">
        <f t="shared" si="10"/>
        <v>-2419.5200000000004</v>
      </c>
      <c r="K79" t="s">
        <v>231</v>
      </c>
      <c r="P79" s="1"/>
      <c r="R79" s="18"/>
      <c r="S79" s="18"/>
      <c r="T79" s="18"/>
      <c r="U79" s="2"/>
      <c r="V79" s="18"/>
      <c r="Z79" t="s">
        <v>230</v>
      </c>
    </row>
    <row r="80" spans="16:26" ht="12.75">
      <c r="P80" s="1" t="s">
        <v>63</v>
      </c>
      <c r="R80" s="36">
        <f>(R61*R62)-R78</f>
        <v>1076</v>
      </c>
      <c r="S80" s="36">
        <f aca="true" t="shared" si="11" ref="S80:X80">(S61*S62)-S78</f>
        <v>-107</v>
      </c>
      <c r="T80" s="36">
        <f t="shared" si="11"/>
        <v>-775</v>
      </c>
      <c r="U80" s="36">
        <f t="shared" si="11"/>
        <v>0</v>
      </c>
      <c r="V80" s="36">
        <f t="shared" si="11"/>
        <v>0</v>
      </c>
      <c r="W80" s="36">
        <f t="shared" si="11"/>
        <v>0</v>
      </c>
      <c r="X80" s="36">
        <f t="shared" si="11"/>
        <v>0</v>
      </c>
      <c r="Z80" t="s">
        <v>231</v>
      </c>
    </row>
    <row r="81" ht="12.75">
      <c r="F81" s="2" t="s">
        <v>6</v>
      </c>
    </row>
    <row r="82" spans="3:12" ht="12.75">
      <c r="C82" s="22" t="s">
        <v>7</v>
      </c>
      <c r="D82" s="130" t="s">
        <v>408</v>
      </c>
      <c r="E82" s="23"/>
      <c r="G82" s="22" t="s">
        <v>7</v>
      </c>
      <c r="H82" s="130" t="s">
        <v>406</v>
      </c>
      <c r="I82" s="23"/>
      <c r="K82" s="24" t="str">
        <f>D82</f>
        <v>Swt Ch. Proc. DK (2011)</v>
      </c>
      <c r="L82" s="6"/>
    </row>
    <row r="83" spans="3:14" ht="12.75">
      <c r="C83" s="22" t="s">
        <v>9</v>
      </c>
      <c r="D83" s="22" t="s">
        <v>10</v>
      </c>
      <c r="E83" s="22" t="s">
        <v>11</v>
      </c>
      <c r="G83" s="22" t="s">
        <v>9</v>
      </c>
      <c r="H83" s="22" t="s">
        <v>10</v>
      </c>
      <c r="I83" s="37" t="s">
        <v>11</v>
      </c>
      <c r="K83" s="17" t="s">
        <v>224</v>
      </c>
      <c r="L83" s="101" t="s">
        <v>226</v>
      </c>
      <c r="N83" t="s">
        <v>384</v>
      </c>
    </row>
    <row r="84" spans="1:12" ht="12.75">
      <c r="A84" s="1" t="s">
        <v>14</v>
      </c>
      <c r="C84" t="s">
        <v>379</v>
      </c>
      <c r="G84" t="s">
        <v>380</v>
      </c>
      <c r="K84" s="17" t="s">
        <v>225</v>
      </c>
      <c r="L84" s="101" t="s">
        <v>225</v>
      </c>
    </row>
    <row r="85" spans="2:12" ht="12.75">
      <c r="B85" t="s">
        <v>17</v>
      </c>
      <c r="C85" s="129">
        <v>6500</v>
      </c>
      <c r="D85" s="27"/>
      <c r="E85" s="27"/>
      <c r="G85" s="129">
        <v>6500</v>
      </c>
      <c r="H85" s="27"/>
      <c r="I85" s="27"/>
      <c r="K85" s="124">
        <f>(C85*C86)-L85</f>
        <v>1612</v>
      </c>
      <c r="L85" s="184">
        <f>C85*C86*C87/100</f>
        <v>403</v>
      </c>
    </row>
    <row r="86" spans="2:11" ht="12.75">
      <c r="B86" t="s">
        <v>19</v>
      </c>
      <c r="C86" s="137">
        <v>0.31</v>
      </c>
      <c r="D86" s="27"/>
      <c r="E86" s="27"/>
      <c r="G86" s="137">
        <v>1.15</v>
      </c>
      <c r="H86" s="27"/>
      <c r="I86" s="27"/>
      <c r="K86" s="44"/>
    </row>
    <row r="87" spans="2:11" ht="12.75">
      <c r="B87" s="26" t="s">
        <v>223</v>
      </c>
      <c r="C87" s="132">
        <v>20</v>
      </c>
      <c r="D87" s="27"/>
      <c r="E87" s="27"/>
      <c r="G87" s="132">
        <v>20</v>
      </c>
      <c r="H87" s="27"/>
      <c r="I87" s="27"/>
      <c r="K87" s="44"/>
    </row>
    <row r="88" spans="2:14" ht="12.75">
      <c r="B88" t="s">
        <v>24</v>
      </c>
      <c r="C88" s="137">
        <v>0.053</v>
      </c>
      <c r="D88" s="27"/>
      <c r="E88" s="27"/>
      <c r="G88" s="137">
        <v>0.4</v>
      </c>
      <c r="H88" s="27"/>
      <c r="I88" s="27"/>
      <c r="K88" s="155" t="str">
        <f>H82</f>
        <v>Sweet Ch. Fresh (2011)</v>
      </c>
      <c r="L88" s="6"/>
      <c r="N88" t="s">
        <v>385</v>
      </c>
    </row>
    <row r="89" spans="1:12" ht="12.75">
      <c r="A89" s="1" t="s">
        <v>26</v>
      </c>
      <c r="K89" s="156" t="s">
        <v>224</v>
      </c>
      <c r="L89" s="101" t="s">
        <v>226</v>
      </c>
    </row>
    <row r="90" spans="2:12" ht="12.75">
      <c r="B90" t="s">
        <v>28</v>
      </c>
      <c r="C90" s="129"/>
      <c r="D90" s="129"/>
      <c r="E90" s="134">
        <v>900</v>
      </c>
      <c r="G90" s="129"/>
      <c r="H90" s="129"/>
      <c r="I90" s="134">
        <v>900</v>
      </c>
      <c r="K90" s="156" t="s">
        <v>225</v>
      </c>
      <c r="L90" s="101" t="s">
        <v>225</v>
      </c>
    </row>
    <row r="91" spans="2:12" ht="12.75">
      <c r="B91" t="s">
        <v>29</v>
      </c>
      <c r="C91" s="129"/>
      <c r="D91" s="129"/>
      <c r="E91" s="134">
        <v>150</v>
      </c>
      <c r="G91" s="129"/>
      <c r="H91" s="129"/>
      <c r="I91" s="134">
        <v>150</v>
      </c>
      <c r="K91" s="124">
        <f>(G85*G86)-L91</f>
        <v>5979.999999999999</v>
      </c>
      <c r="L91" s="184">
        <f>G85*G86*G87/100</f>
        <v>1494.9999999999998</v>
      </c>
    </row>
    <row r="92" spans="2:9" ht="12.75">
      <c r="B92" t="s">
        <v>31</v>
      </c>
      <c r="C92" s="129"/>
      <c r="D92" s="129">
        <v>15.7</v>
      </c>
      <c r="E92" s="134">
        <v>866.34</v>
      </c>
      <c r="G92" s="129"/>
      <c r="H92" s="129">
        <v>15.7</v>
      </c>
      <c r="I92" s="134">
        <v>866.34</v>
      </c>
    </row>
    <row r="93" spans="2:9" ht="12.75">
      <c r="B93" t="s">
        <v>33</v>
      </c>
      <c r="C93" s="129"/>
      <c r="D93" s="129"/>
      <c r="E93" s="134">
        <v>0</v>
      </c>
      <c r="G93" s="129"/>
      <c r="H93" s="129"/>
      <c r="I93" s="134">
        <v>0</v>
      </c>
    </row>
    <row r="94" spans="2:9" ht="12.75">
      <c r="B94" t="s">
        <v>34</v>
      </c>
      <c r="C94" s="129">
        <v>101.06</v>
      </c>
      <c r="D94" s="129">
        <v>35</v>
      </c>
      <c r="E94" s="134">
        <v>37</v>
      </c>
      <c r="G94" s="129">
        <v>101.97</v>
      </c>
      <c r="H94" s="129">
        <v>35</v>
      </c>
      <c r="I94" s="134">
        <v>37</v>
      </c>
    </row>
    <row r="95" spans="2:9" ht="12.75">
      <c r="B95" t="s">
        <v>35</v>
      </c>
      <c r="C95" s="129">
        <v>279.01</v>
      </c>
      <c r="D95" s="129">
        <v>122.53</v>
      </c>
      <c r="E95" s="134">
        <v>148.05</v>
      </c>
      <c r="G95" s="129">
        <v>279.1</v>
      </c>
      <c r="H95" s="129">
        <v>122.53</v>
      </c>
      <c r="I95" s="134">
        <v>148.05</v>
      </c>
    </row>
    <row r="96" spans="2:9" ht="12.75">
      <c r="B96" t="s">
        <v>37</v>
      </c>
      <c r="C96" s="129">
        <v>39</v>
      </c>
      <c r="D96" s="129">
        <v>0</v>
      </c>
      <c r="E96" s="134">
        <v>178.11</v>
      </c>
      <c r="G96" s="129">
        <v>0</v>
      </c>
      <c r="H96" s="129">
        <v>0</v>
      </c>
      <c r="I96" s="134">
        <v>178.11</v>
      </c>
    </row>
    <row r="97" spans="2:9" ht="12.75">
      <c r="B97" t="s">
        <v>97</v>
      </c>
      <c r="C97" s="129">
        <v>465.86</v>
      </c>
      <c r="D97" s="129">
        <v>93.01</v>
      </c>
      <c r="E97" s="134">
        <v>140.02</v>
      </c>
      <c r="G97" s="129">
        <v>465.86</v>
      </c>
      <c r="H97" s="129">
        <v>93.01</v>
      </c>
      <c r="I97" s="134">
        <v>140.02</v>
      </c>
    </row>
    <row r="98" spans="2:9" ht="12.75">
      <c r="B98" t="s">
        <v>38</v>
      </c>
      <c r="C98" s="134">
        <v>149.5</v>
      </c>
      <c r="D98" s="129"/>
      <c r="E98" s="134"/>
      <c r="G98" s="134">
        <v>149.5</v>
      </c>
      <c r="H98" s="129"/>
      <c r="I98" s="134"/>
    </row>
    <row r="99" spans="2:9" ht="12.75">
      <c r="B99" t="s">
        <v>39</v>
      </c>
      <c r="C99" s="134"/>
      <c r="D99" s="129"/>
      <c r="E99" s="134"/>
      <c r="G99" s="134"/>
      <c r="H99" s="129"/>
      <c r="I99" s="134"/>
    </row>
    <row r="100" spans="2:11" ht="12.75">
      <c r="B100" t="s">
        <v>98</v>
      </c>
      <c r="C100" s="129"/>
      <c r="D100" s="129"/>
      <c r="E100" s="134"/>
      <c r="G100" s="134"/>
      <c r="H100" s="135"/>
      <c r="I100" s="134"/>
      <c r="K100" t="s">
        <v>227</v>
      </c>
    </row>
    <row r="101" spans="2:11" ht="12.75">
      <c r="B101" s="26" t="s">
        <v>40</v>
      </c>
      <c r="C101" s="31">
        <f>C88*C85</f>
        <v>344.5</v>
      </c>
      <c r="D101" s="32"/>
      <c r="E101" s="33"/>
      <c r="G101" s="31">
        <f>G88*G85</f>
        <v>2600</v>
      </c>
      <c r="H101" s="32"/>
      <c r="I101" s="34"/>
      <c r="K101" t="s">
        <v>228</v>
      </c>
    </row>
    <row r="102" spans="2:11" ht="12.75">
      <c r="B102" s="7" t="s">
        <v>41</v>
      </c>
      <c r="C102" s="35">
        <f aca="true" t="shared" si="12" ref="C102:I102">SUM(C90:C101)</f>
        <v>1378.93</v>
      </c>
      <c r="D102" s="35">
        <f t="shared" si="12"/>
        <v>266.24</v>
      </c>
      <c r="E102" s="35">
        <f t="shared" si="12"/>
        <v>2419.5200000000004</v>
      </c>
      <c r="F102" s="35">
        <f t="shared" si="12"/>
        <v>0</v>
      </c>
      <c r="G102" s="35">
        <f t="shared" si="12"/>
        <v>3596.4300000000003</v>
      </c>
      <c r="H102" s="35">
        <f t="shared" si="12"/>
        <v>266.24</v>
      </c>
      <c r="I102" s="35">
        <f t="shared" si="12"/>
        <v>2419.5200000000004</v>
      </c>
      <c r="K102" t="s">
        <v>229</v>
      </c>
    </row>
    <row r="103" ht="12.75">
      <c r="K103" t="s">
        <v>230</v>
      </c>
    </row>
    <row r="104" spans="1:11" ht="12.75">
      <c r="A104" s="1" t="s">
        <v>63</v>
      </c>
      <c r="C104" s="36">
        <f>(C85*C86)-C102</f>
        <v>636.0699999999999</v>
      </c>
      <c r="D104" s="36">
        <f aca="true" t="shared" si="13" ref="D104:I104">(D85*D86)-D102</f>
        <v>-266.24</v>
      </c>
      <c r="E104" s="36">
        <f t="shared" si="13"/>
        <v>-2419.5200000000004</v>
      </c>
      <c r="F104" s="36">
        <f t="shared" si="13"/>
        <v>0</v>
      </c>
      <c r="G104" s="36">
        <f t="shared" si="13"/>
        <v>3878.569999999999</v>
      </c>
      <c r="H104" s="36">
        <f t="shared" si="13"/>
        <v>-266.24</v>
      </c>
      <c r="I104" s="36">
        <f t="shared" si="13"/>
        <v>-2419.5200000000004</v>
      </c>
      <c r="K104" t="s">
        <v>231</v>
      </c>
    </row>
    <row r="109" ht="12.75">
      <c r="B109" t="s">
        <v>442</v>
      </c>
    </row>
    <row r="110" ht="12.75">
      <c r="B110" t="s">
        <v>424</v>
      </c>
    </row>
    <row r="111" ht="12.75">
      <c r="B111" t="s">
        <v>425</v>
      </c>
    </row>
  </sheetData>
  <sheetProtection sheet="1"/>
  <mergeCells count="1">
    <mergeCell ref="R3:X4"/>
  </mergeCells>
  <printOptions/>
  <pageMargins left="0.25" right="0.25" top="0.63" bottom="0.48" header="0.35" footer="0.27"/>
  <pageSetup horizontalDpi="600" verticalDpi="600" orientation="portrait" scale="64" r:id="rId1"/>
  <headerFooter alignWithMargins="0">
    <oddHeader>&amp;C&amp;F</oddHeader>
    <oddFooter>&amp;CPenn State Farm Management Extension</oddFooter>
  </headerFooter>
  <rowBreaks count="1" manualBreakCount="1">
    <brk id="55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showGridLines="0" zoomScalePageLayoutView="0" workbookViewId="0" topLeftCell="A1">
      <selection activeCell="C135" sqref="C135"/>
    </sheetView>
  </sheetViews>
  <sheetFormatPr defaultColWidth="9.140625" defaultRowHeight="12.75"/>
  <cols>
    <col min="1" max="1" width="3.140625" style="2" customWidth="1"/>
    <col min="2" max="2" width="18.7109375" style="0" customWidth="1"/>
    <col min="3" max="3" width="11.421875" style="0" customWidth="1"/>
    <col min="4" max="9" width="10.7109375" style="0" customWidth="1"/>
  </cols>
  <sheetData>
    <row r="1" ht="12.75">
      <c r="E1" s="2" t="s">
        <v>291</v>
      </c>
    </row>
    <row r="2" ht="12.75">
      <c r="E2" s="2"/>
    </row>
    <row r="3" spans="1:9" ht="12.75">
      <c r="A3" s="4"/>
      <c r="B3" s="67" t="s">
        <v>2</v>
      </c>
      <c r="C3" s="5" t="str">
        <f>'Enterprise Budgets'!C3</f>
        <v>Michigan Example Fruit Farm</v>
      </c>
      <c r="D3" s="5"/>
      <c r="E3" s="5"/>
      <c r="F3" s="5"/>
      <c r="G3" s="5"/>
      <c r="H3" s="5"/>
      <c r="I3" s="6"/>
    </row>
    <row r="4" spans="1:9" ht="12.75">
      <c r="A4" s="12"/>
      <c r="B4" s="68" t="s">
        <v>3</v>
      </c>
      <c r="C4" s="4" t="s">
        <v>4</v>
      </c>
      <c r="D4" s="14" t="s">
        <v>5</v>
      </c>
      <c r="E4" s="15">
        <v>2</v>
      </c>
      <c r="F4" s="14">
        <v>3</v>
      </c>
      <c r="G4" s="15">
        <v>4</v>
      </c>
      <c r="H4" s="14">
        <v>5</v>
      </c>
      <c r="I4" s="16">
        <v>6</v>
      </c>
    </row>
    <row r="5" spans="1:9" ht="12.75">
      <c r="A5" s="17"/>
      <c r="B5" s="50"/>
      <c r="C5" s="138">
        <v>2011</v>
      </c>
      <c r="D5" s="20">
        <f aca="true" t="shared" si="0" ref="D5:I5">1+C5</f>
        <v>2012</v>
      </c>
      <c r="E5" s="20">
        <f t="shared" si="0"/>
        <v>2013</v>
      </c>
      <c r="F5" s="20">
        <f t="shared" si="0"/>
        <v>2014</v>
      </c>
      <c r="G5" s="20">
        <f t="shared" si="0"/>
        <v>2015</v>
      </c>
      <c r="H5" s="20">
        <f t="shared" si="0"/>
        <v>2016</v>
      </c>
      <c r="I5" s="20">
        <f t="shared" si="0"/>
        <v>2017</v>
      </c>
    </row>
    <row r="6" spans="1:9" ht="12.75">
      <c r="A6" s="17"/>
      <c r="B6" s="24" t="str">
        <f>'Enterprise Budgets'!D7</f>
        <v>Tall Spindle Apples</v>
      </c>
      <c r="C6" s="81" t="s">
        <v>8</v>
      </c>
      <c r="D6" s="5"/>
      <c r="E6" s="5"/>
      <c r="F6" s="5"/>
      <c r="G6" s="5"/>
      <c r="H6" s="5"/>
      <c r="I6" s="6"/>
    </row>
    <row r="7" spans="1:9" ht="12.75">
      <c r="A7" s="12"/>
      <c r="B7" s="25" t="s">
        <v>12</v>
      </c>
      <c r="C7" s="139"/>
      <c r="D7" s="134"/>
      <c r="E7" s="134"/>
      <c r="F7" s="134"/>
      <c r="G7" s="134"/>
      <c r="H7" s="134"/>
      <c r="I7" s="134"/>
    </row>
    <row r="8" spans="1:9" ht="12.75">
      <c r="A8" s="12"/>
      <c r="B8" s="25" t="s">
        <v>15</v>
      </c>
      <c r="C8" s="134"/>
      <c r="D8" s="134"/>
      <c r="E8" s="134"/>
      <c r="F8" s="134"/>
      <c r="G8" s="134"/>
      <c r="H8" s="134"/>
      <c r="I8" s="134"/>
    </row>
    <row r="9" spans="1:9" ht="12.75">
      <c r="A9" s="12"/>
      <c r="B9" s="25" t="s">
        <v>18</v>
      </c>
      <c r="C9" s="134"/>
      <c r="D9" s="134"/>
      <c r="E9" s="134"/>
      <c r="F9" s="134"/>
      <c r="G9" s="134"/>
      <c r="H9" s="134"/>
      <c r="I9" s="140"/>
    </row>
    <row r="10" spans="1:9" ht="12.75">
      <c r="A10" s="12"/>
      <c r="B10" s="25" t="s">
        <v>20</v>
      </c>
      <c r="C10" s="134">
        <v>0</v>
      </c>
      <c r="D10" s="22">
        <f>'Enterprise Budgets'!C10</f>
        <v>1000</v>
      </c>
      <c r="E10" s="22">
        <f aca="true" t="shared" si="1" ref="E10:I11">D10</f>
        <v>1000</v>
      </c>
      <c r="F10" s="22">
        <f t="shared" si="1"/>
        <v>1000</v>
      </c>
      <c r="G10" s="22">
        <f t="shared" si="1"/>
        <v>1000</v>
      </c>
      <c r="H10" s="22">
        <f t="shared" si="1"/>
        <v>1000</v>
      </c>
      <c r="I10" s="22">
        <f t="shared" si="1"/>
        <v>1000</v>
      </c>
    </row>
    <row r="11" spans="1:9" ht="12.75">
      <c r="A11" s="12"/>
      <c r="B11" s="25" t="s">
        <v>22</v>
      </c>
      <c r="C11" s="137">
        <v>7.15</v>
      </c>
      <c r="D11" s="48">
        <f>'Enterprise Budgets'!C11</f>
        <v>7.15</v>
      </c>
      <c r="E11" s="48">
        <f t="shared" si="1"/>
        <v>7.15</v>
      </c>
      <c r="F11" s="48">
        <f t="shared" si="1"/>
        <v>7.15</v>
      </c>
      <c r="G11" s="48">
        <f t="shared" si="1"/>
        <v>7.15</v>
      </c>
      <c r="H11" s="48">
        <f t="shared" si="1"/>
        <v>7.15</v>
      </c>
      <c r="I11" s="48">
        <f t="shared" si="1"/>
        <v>7.15</v>
      </c>
    </row>
    <row r="12" spans="1:9" ht="12.75">
      <c r="A12" s="12"/>
      <c r="B12" s="25" t="s">
        <v>232</v>
      </c>
      <c r="C12" s="162">
        <f>(C7*'Enterprise Budgets'!K10)</f>
        <v>0</v>
      </c>
      <c r="D12" s="29">
        <f>(D7*'Enterprise Budgets'!$K$10)+'Production Plan'!C13</f>
        <v>0</v>
      </c>
      <c r="E12" s="29">
        <f>(E7*'Enterprise Budgets'!$K$10)+'Production Plan'!D13</f>
        <v>0</v>
      </c>
      <c r="F12" s="29">
        <f>(F7*'Enterprise Budgets'!$K$10)+'Production Plan'!E13</f>
        <v>0</v>
      </c>
      <c r="G12" s="29">
        <f>(G7*'Enterprise Budgets'!$K$10)+'Production Plan'!F13</f>
        <v>0</v>
      </c>
      <c r="H12" s="29">
        <f>(H7*'Enterprise Budgets'!$K$10)+'Production Plan'!G13</f>
        <v>0</v>
      </c>
      <c r="I12" s="29">
        <f>(I7*'Enterprise Budgets'!$K$10)+'Production Plan'!H13</f>
        <v>0</v>
      </c>
    </row>
    <row r="13" spans="1:9" ht="12.75">
      <c r="A13" s="12"/>
      <c r="B13" s="113" t="s">
        <v>233</v>
      </c>
      <c r="C13" s="29">
        <f>C10*C11*C7*'Enterprise Budgets'!C12/100</f>
        <v>0</v>
      </c>
      <c r="D13" s="114">
        <f>D7*'Enterprise Budgets'!$L$10</f>
        <v>0</v>
      </c>
      <c r="E13" s="114">
        <f>E7*'Enterprise Budgets'!$L$10</f>
        <v>0</v>
      </c>
      <c r="F13" s="114">
        <f>F7*'Enterprise Budgets'!$L$10</f>
        <v>0</v>
      </c>
      <c r="G13" s="114">
        <f>G7*'Enterprise Budgets'!$L$10</f>
        <v>0</v>
      </c>
      <c r="H13" s="114">
        <f>H7*'Enterprise Budgets'!$L$10</f>
        <v>0</v>
      </c>
      <c r="I13" s="114">
        <f>I7*'Enterprise Budgets'!$L$10</f>
        <v>0</v>
      </c>
    </row>
    <row r="14" spans="1:9" ht="12.75">
      <c r="A14" s="12"/>
      <c r="B14" s="24" t="str">
        <f>'Enterprise Budgets'!H7</f>
        <v>Vertical Axe Apples</v>
      </c>
      <c r="C14" s="5"/>
      <c r="D14" s="5"/>
      <c r="E14" s="5"/>
      <c r="F14" s="5"/>
      <c r="G14" s="5"/>
      <c r="H14" s="5"/>
      <c r="I14" s="6"/>
    </row>
    <row r="15" spans="1:9" ht="12.75">
      <c r="A15" s="12"/>
      <c r="B15" s="25" t="s">
        <v>12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f>G15</f>
        <v>0</v>
      </c>
      <c r="I15" s="134">
        <f>H15</f>
        <v>0</v>
      </c>
    </row>
    <row r="16" spans="1:9" ht="12.75">
      <c r="A16" s="12"/>
      <c r="B16" s="25" t="s">
        <v>15</v>
      </c>
      <c r="C16" s="134">
        <v>0</v>
      </c>
      <c r="D16" s="134">
        <v>0</v>
      </c>
      <c r="E16" s="134">
        <v>0</v>
      </c>
      <c r="F16" s="134"/>
      <c r="G16" s="134"/>
      <c r="H16" s="134"/>
      <c r="I16" s="140"/>
    </row>
    <row r="17" spans="1:9" ht="12.75">
      <c r="A17" s="12"/>
      <c r="B17" s="25" t="s">
        <v>18</v>
      </c>
      <c r="C17" s="134"/>
      <c r="D17" s="134"/>
      <c r="E17" s="134"/>
      <c r="F17" s="134"/>
      <c r="G17" s="134"/>
      <c r="H17" s="134"/>
      <c r="I17" s="140"/>
    </row>
    <row r="18" spans="1:9" ht="12.75">
      <c r="A18" s="12"/>
      <c r="B18" s="25" t="s">
        <v>20</v>
      </c>
      <c r="C18" s="134">
        <v>0</v>
      </c>
      <c r="D18" s="22">
        <f>'Enterprise Budgets'!G10</f>
        <v>750</v>
      </c>
      <c r="E18" s="22">
        <f>D18</f>
        <v>750</v>
      </c>
      <c r="F18" s="22">
        <f>E18</f>
        <v>750</v>
      </c>
      <c r="G18" s="22">
        <f>F18</f>
        <v>750</v>
      </c>
      <c r="H18" s="22">
        <f>G18</f>
        <v>750</v>
      </c>
      <c r="I18" s="22">
        <f>H18</f>
        <v>750</v>
      </c>
    </row>
    <row r="19" spans="1:9" ht="12.75">
      <c r="A19" s="12"/>
      <c r="B19" s="25" t="s">
        <v>22</v>
      </c>
      <c r="C19" s="137">
        <v>7.15</v>
      </c>
      <c r="D19" s="115">
        <f>'Enterprise Budgets'!$G$11</f>
        <v>7.15</v>
      </c>
      <c r="E19" s="115">
        <f>'Enterprise Budgets'!$G$11</f>
        <v>7.15</v>
      </c>
      <c r="F19" s="115">
        <f>'Enterprise Budgets'!$G$11</f>
        <v>7.15</v>
      </c>
      <c r="G19" s="115">
        <f>'Enterprise Budgets'!$G$11</f>
        <v>7.15</v>
      </c>
      <c r="H19" s="115">
        <f>'Enterprise Budgets'!$G$11</f>
        <v>7.15</v>
      </c>
      <c r="I19" s="115">
        <f>'Enterprise Budgets'!$G$11</f>
        <v>7.15</v>
      </c>
    </row>
    <row r="20" spans="1:9" ht="12.75">
      <c r="A20" s="12"/>
      <c r="B20" s="25" t="s">
        <v>232</v>
      </c>
      <c r="C20" s="162">
        <f>(C15*'Enterprise Budgets'!K16)</f>
        <v>0</v>
      </c>
      <c r="D20" s="29">
        <f>(D15*'Enterprise Budgets'!$K$16)+'Production Plan'!C21</f>
        <v>0</v>
      </c>
      <c r="E20" s="29">
        <f>(E15*'Enterprise Budgets'!$K$16)+'Production Plan'!D21</f>
        <v>0</v>
      </c>
      <c r="F20" s="29">
        <f>(F15*'Enterprise Budgets'!$K$16)+'Production Plan'!E21</f>
        <v>0</v>
      </c>
      <c r="G20" s="29">
        <f>(G15*'Enterprise Budgets'!$K$16)+'Production Plan'!F21</f>
        <v>0</v>
      </c>
      <c r="H20" s="29">
        <f>(H15*'Enterprise Budgets'!$K$16)+'Production Plan'!G21</f>
        <v>0</v>
      </c>
      <c r="I20" s="29">
        <f>(I15*'Enterprise Budgets'!$K$16)+'Production Plan'!H21</f>
        <v>0</v>
      </c>
    </row>
    <row r="21" spans="1:9" ht="12.75">
      <c r="A21" s="12"/>
      <c r="B21" s="113" t="s">
        <v>233</v>
      </c>
      <c r="C21" s="29">
        <f>C18*C19*C15*'Enterprise Budgets'!G12/100</f>
        <v>0</v>
      </c>
      <c r="D21" s="114">
        <f>D15*'Enterprise Budgets'!$L$16</f>
        <v>0</v>
      </c>
      <c r="E21" s="114">
        <f>E15*'Enterprise Budgets'!$L$16</f>
        <v>0</v>
      </c>
      <c r="F21" s="114">
        <f>F15*'Enterprise Budgets'!$L$16</f>
        <v>0</v>
      </c>
      <c r="G21" s="114">
        <f>G15*'Enterprise Budgets'!$L$16</f>
        <v>0</v>
      </c>
      <c r="H21" s="114">
        <f>H15*'Enterprise Budgets'!$L$16</f>
        <v>0</v>
      </c>
      <c r="I21" s="114">
        <f>I15*'Enterprise Budgets'!$L$16</f>
        <v>0</v>
      </c>
    </row>
    <row r="22" spans="1:9" ht="12.75">
      <c r="A22" s="12"/>
      <c r="B22" s="24" t="str">
        <f>'Enterprise Budgets'!D32</f>
        <v>Central Leader Apples</v>
      </c>
      <c r="C22" s="5"/>
      <c r="D22" s="5"/>
      <c r="E22" s="5"/>
      <c r="F22" s="5"/>
      <c r="G22" s="5"/>
      <c r="H22" s="5"/>
      <c r="I22" s="6"/>
    </row>
    <row r="23" spans="1:9" ht="12.75">
      <c r="A23" s="12"/>
      <c r="B23" s="25" t="s">
        <v>12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</row>
    <row r="24" spans="1:9" ht="12.75">
      <c r="A24" s="12"/>
      <c r="B24" s="25" t="s">
        <v>15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40"/>
    </row>
    <row r="25" spans="1:9" ht="12.75">
      <c r="A25" s="12"/>
      <c r="B25" s="25" t="s">
        <v>18</v>
      </c>
      <c r="C25" s="134">
        <v>0</v>
      </c>
      <c r="D25" s="134">
        <v>0</v>
      </c>
      <c r="E25" s="134">
        <v>0</v>
      </c>
      <c r="F25" s="134"/>
      <c r="G25" s="134"/>
      <c r="H25" s="134"/>
      <c r="I25" s="134"/>
    </row>
    <row r="26" spans="1:9" ht="12.75">
      <c r="A26" s="17"/>
      <c r="B26" s="25" t="s">
        <v>20</v>
      </c>
      <c r="C26" s="129">
        <v>0</v>
      </c>
      <c r="D26" s="117">
        <f>'Enterprise Budgets'!C35</f>
        <v>650</v>
      </c>
      <c r="E26" s="118">
        <f aca="true" t="shared" si="2" ref="E26:I27">D26</f>
        <v>650</v>
      </c>
      <c r="F26" s="118">
        <f t="shared" si="2"/>
        <v>650</v>
      </c>
      <c r="G26" s="118">
        <f t="shared" si="2"/>
        <v>650</v>
      </c>
      <c r="H26" s="118">
        <f t="shared" si="2"/>
        <v>650</v>
      </c>
      <c r="I26" s="119">
        <f t="shared" si="2"/>
        <v>650</v>
      </c>
    </row>
    <row r="27" spans="1:9" ht="12.75">
      <c r="A27" s="17"/>
      <c r="B27" s="25" t="s">
        <v>22</v>
      </c>
      <c r="C27" s="137">
        <v>7.15</v>
      </c>
      <c r="D27" s="116">
        <f>'Enterprise Budgets'!C36</f>
        <v>7.15</v>
      </c>
      <c r="E27" s="116">
        <f t="shared" si="2"/>
        <v>7.15</v>
      </c>
      <c r="F27" s="116">
        <f t="shared" si="2"/>
        <v>7.15</v>
      </c>
      <c r="G27" s="116">
        <f t="shared" si="2"/>
        <v>7.15</v>
      </c>
      <c r="H27" s="116">
        <f t="shared" si="2"/>
        <v>7.15</v>
      </c>
      <c r="I27" s="116">
        <f t="shared" si="2"/>
        <v>7.15</v>
      </c>
    </row>
    <row r="28" spans="1:9" ht="12.75">
      <c r="A28" s="17"/>
      <c r="B28" s="25" t="s">
        <v>232</v>
      </c>
      <c r="C28" s="162">
        <f>C27*C26*C23</f>
        <v>0</v>
      </c>
      <c r="D28" s="29">
        <f>D23*'Enterprise Budgets'!$K$35+'Production Plan'!C29</f>
        <v>0</v>
      </c>
      <c r="E28" s="29">
        <f>E23*'Enterprise Budgets'!$K$35+'Production Plan'!D29</f>
        <v>0</v>
      </c>
      <c r="F28" s="29">
        <f>F23*'Enterprise Budgets'!$K$35+'Production Plan'!E29</f>
        <v>0</v>
      </c>
      <c r="G28" s="29">
        <f>G23*'Enterprise Budgets'!$K$35+'Production Plan'!F29</f>
        <v>0</v>
      </c>
      <c r="H28" s="29">
        <f>H23*'Enterprise Budgets'!$K$35+'Production Plan'!G29</f>
        <v>0</v>
      </c>
      <c r="I28" s="29">
        <f>I23*'Enterprise Budgets'!$K$35+'Production Plan'!H29</f>
        <v>0</v>
      </c>
    </row>
    <row r="29" spans="1:9" ht="12.75">
      <c r="A29" s="17"/>
      <c r="B29" s="113" t="s">
        <v>233</v>
      </c>
      <c r="C29" s="29">
        <f>C26*C27*C23*'Enterprise Budgets'!C37/100</f>
        <v>0</v>
      </c>
      <c r="D29" s="114">
        <f>D23*'Enterprise Budgets'!$L$35</f>
        <v>0</v>
      </c>
      <c r="E29" s="114">
        <f>E23*'Enterprise Budgets'!$L$35</f>
        <v>0</v>
      </c>
      <c r="F29" s="114">
        <f>F23*'Enterprise Budgets'!$L$35</f>
        <v>0</v>
      </c>
      <c r="G29" s="114">
        <f>G23*'Enterprise Budgets'!$L$35</f>
        <v>0</v>
      </c>
      <c r="H29" s="114">
        <f>H23*'Enterprise Budgets'!$L$35</f>
        <v>0</v>
      </c>
      <c r="I29" s="114">
        <f>I23*'Enterprise Budgets'!$L$35</f>
        <v>0</v>
      </c>
    </row>
    <row r="30" spans="1:9" ht="12.75">
      <c r="A30" s="17"/>
      <c r="B30" s="24" t="str">
        <f>'Enterprise Budgets'!H32</f>
        <v>Cheeries Tart (2011)</v>
      </c>
      <c r="C30" s="15">
        <f>C5</f>
        <v>2011</v>
      </c>
      <c r="D30" s="15">
        <f aca="true" t="shared" si="3" ref="D30:I30">D5</f>
        <v>2012</v>
      </c>
      <c r="E30" s="15">
        <f t="shared" si="3"/>
        <v>2013</v>
      </c>
      <c r="F30" s="15">
        <f t="shared" si="3"/>
        <v>2014</v>
      </c>
      <c r="G30" s="15">
        <f t="shared" si="3"/>
        <v>2015</v>
      </c>
      <c r="H30" s="15">
        <f t="shared" si="3"/>
        <v>2016</v>
      </c>
      <c r="I30" s="15">
        <f t="shared" si="3"/>
        <v>2017</v>
      </c>
    </row>
    <row r="31" spans="1:9" ht="12.75">
      <c r="A31" s="17"/>
      <c r="B31" s="25" t="s">
        <v>12</v>
      </c>
      <c r="C31" s="134">
        <v>50</v>
      </c>
      <c r="D31" s="134">
        <v>0</v>
      </c>
      <c r="E31" s="134">
        <v>50</v>
      </c>
      <c r="F31" s="134">
        <v>50</v>
      </c>
      <c r="G31" s="134">
        <v>50</v>
      </c>
      <c r="H31" s="134">
        <v>50</v>
      </c>
      <c r="I31" s="134">
        <v>50</v>
      </c>
    </row>
    <row r="32" spans="1:9" ht="12.75">
      <c r="A32" s="17"/>
      <c r="B32" s="25" t="s">
        <v>15</v>
      </c>
      <c r="C32" s="134">
        <v>10</v>
      </c>
      <c r="D32" s="134">
        <v>60</v>
      </c>
      <c r="E32" s="134">
        <v>10</v>
      </c>
      <c r="F32" s="134">
        <v>10</v>
      </c>
      <c r="G32" s="134">
        <v>10</v>
      </c>
      <c r="H32" s="134">
        <v>10</v>
      </c>
      <c r="I32" s="134">
        <v>10</v>
      </c>
    </row>
    <row r="33" spans="1:9" ht="12.75">
      <c r="A33" s="17"/>
      <c r="B33" s="25" t="s">
        <v>18</v>
      </c>
      <c r="C33" s="134">
        <v>2</v>
      </c>
      <c r="D33" s="134">
        <v>2</v>
      </c>
      <c r="E33" s="134">
        <v>2</v>
      </c>
      <c r="F33" s="134">
        <v>2</v>
      </c>
      <c r="G33" s="134">
        <v>2</v>
      </c>
      <c r="H33" s="134">
        <v>2</v>
      </c>
      <c r="I33" s="134">
        <v>2</v>
      </c>
    </row>
    <row r="34" spans="1:9" ht="12.75">
      <c r="A34" s="17"/>
      <c r="B34" s="25" t="s">
        <v>20</v>
      </c>
      <c r="C34" s="129">
        <v>8798</v>
      </c>
      <c r="D34" s="22">
        <f>'Enterprise Budgets'!G35</f>
        <v>9000</v>
      </c>
      <c r="E34" s="22">
        <f aca="true" t="shared" si="4" ref="E34:I35">D34</f>
        <v>9000</v>
      </c>
      <c r="F34" s="22">
        <f t="shared" si="4"/>
        <v>9000</v>
      </c>
      <c r="G34" s="22">
        <f t="shared" si="4"/>
        <v>9000</v>
      </c>
      <c r="H34" s="22">
        <f t="shared" si="4"/>
        <v>9000</v>
      </c>
      <c r="I34" s="22">
        <f t="shared" si="4"/>
        <v>9000</v>
      </c>
    </row>
    <row r="35" spans="1:9" ht="12.75">
      <c r="A35" s="17"/>
      <c r="B35" s="25" t="s">
        <v>22</v>
      </c>
      <c r="C35" s="137">
        <v>0.29</v>
      </c>
      <c r="D35" s="48">
        <f>'Enterprise Budgets'!G36</f>
        <v>0.29</v>
      </c>
      <c r="E35" s="48">
        <f t="shared" si="4"/>
        <v>0.29</v>
      </c>
      <c r="F35" s="48">
        <f t="shared" si="4"/>
        <v>0.29</v>
      </c>
      <c r="G35" s="48">
        <f t="shared" si="4"/>
        <v>0.29</v>
      </c>
      <c r="H35" s="48">
        <f t="shared" si="4"/>
        <v>0.29</v>
      </c>
      <c r="I35" s="48">
        <f t="shared" si="4"/>
        <v>0.29</v>
      </c>
    </row>
    <row r="36" spans="1:9" ht="12.75">
      <c r="A36" s="17"/>
      <c r="B36" s="25" t="s">
        <v>232</v>
      </c>
      <c r="C36" s="189">
        <f>C31*C34*C35</f>
        <v>127570.99999999999</v>
      </c>
      <c r="D36" s="29">
        <f>(D31*'Enterprise Budgets'!$K$41)+'Production Plan'!C37</f>
        <v>25514.199999999997</v>
      </c>
      <c r="E36" s="29">
        <f>(E31*'Enterprise Budgets'!$K$41)+'Production Plan'!D37</f>
        <v>104400</v>
      </c>
      <c r="F36" s="29">
        <f>(F31*'Enterprise Budgets'!$K$41)+'Production Plan'!E37</f>
        <v>130500</v>
      </c>
      <c r="G36" s="29">
        <f>(G31*'Enterprise Budgets'!$K$41)+'Production Plan'!F37</f>
        <v>130500</v>
      </c>
      <c r="H36" s="29">
        <f>(H31*'Enterprise Budgets'!$K$41)+'Production Plan'!G37</f>
        <v>130500</v>
      </c>
      <c r="I36" s="29">
        <f>(I31*'Enterprise Budgets'!$K$41)+'Production Plan'!H37</f>
        <v>130500</v>
      </c>
    </row>
    <row r="37" spans="1:9" ht="12.75">
      <c r="A37" s="12"/>
      <c r="B37" s="113" t="s">
        <v>233</v>
      </c>
      <c r="C37" s="29">
        <f>C34*C35*C31*'Enterprise Budgets'!G37/100</f>
        <v>25514.199999999997</v>
      </c>
      <c r="D37" s="114">
        <f>D31*'Enterprise Budgets'!$L$41</f>
        <v>0</v>
      </c>
      <c r="E37" s="114">
        <f>E31*'Enterprise Budgets'!$L$41</f>
        <v>26100</v>
      </c>
      <c r="F37" s="114">
        <f>F31*'Enterprise Budgets'!$L$41</f>
        <v>26100</v>
      </c>
      <c r="G37" s="114">
        <f>G31*'Enterprise Budgets'!$L$41</f>
        <v>26100</v>
      </c>
      <c r="H37" s="114">
        <f>H31*'Enterprise Budgets'!$L$41</f>
        <v>26100</v>
      </c>
      <c r="I37" s="114">
        <f>I31*'Enterprise Budgets'!$L$41</f>
        <v>26100</v>
      </c>
    </row>
    <row r="38" spans="1:9" ht="12.75">
      <c r="A38" s="12"/>
      <c r="B38" s="24" t="str">
        <f>'Enterprise Budgets'!D57</f>
        <v>Wine Grapes (2007)</v>
      </c>
      <c r="C38" s="5"/>
      <c r="D38" s="5"/>
      <c r="E38" s="5"/>
      <c r="F38" s="5"/>
      <c r="G38" s="5"/>
      <c r="H38" s="5"/>
      <c r="I38" s="6"/>
    </row>
    <row r="39" spans="1:9" ht="12.75">
      <c r="A39" s="12"/>
      <c r="B39" s="25" t="s">
        <v>12</v>
      </c>
      <c r="C39" s="134">
        <v>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</row>
    <row r="40" spans="1:9" ht="12.75">
      <c r="A40" s="12"/>
      <c r="B40" s="25" t="s">
        <v>15</v>
      </c>
      <c r="C40" s="134"/>
      <c r="D40" s="134"/>
      <c r="E40" s="134"/>
      <c r="F40" s="134">
        <v>0</v>
      </c>
      <c r="G40" s="134">
        <v>0</v>
      </c>
      <c r="H40" s="134">
        <v>0</v>
      </c>
      <c r="I40" s="140"/>
    </row>
    <row r="41" spans="1:9" ht="12.75">
      <c r="A41" s="12"/>
      <c r="B41" s="25" t="s">
        <v>18</v>
      </c>
      <c r="C41" s="134"/>
      <c r="D41" s="134"/>
      <c r="E41" s="134"/>
      <c r="F41" s="134">
        <v>0</v>
      </c>
      <c r="G41" s="134"/>
      <c r="H41" s="134"/>
      <c r="I41" s="140"/>
    </row>
    <row r="42" spans="1:9" ht="12.75">
      <c r="A42" s="17"/>
      <c r="B42" s="25" t="s">
        <v>20</v>
      </c>
      <c r="C42" s="134">
        <v>0</v>
      </c>
      <c r="D42" s="22">
        <f>'Enterprise Budgets'!C60</f>
        <v>3</v>
      </c>
      <c r="E42" s="22">
        <f aca="true" t="shared" si="5" ref="E42:I43">D42</f>
        <v>3</v>
      </c>
      <c r="F42" s="22">
        <f t="shared" si="5"/>
        <v>3</v>
      </c>
      <c r="G42" s="22">
        <f t="shared" si="5"/>
        <v>3</v>
      </c>
      <c r="H42" s="22">
        <f t="shared" si="5"/>
        <v>3</v>
      </c>
      <c r="I42" s="22">
        <f t="shared" si="5"/>
        <v>3</v>
      </c>
    </row>
    <row r="43" spans="1:9" ht="12.75">
      <c r="A43" s="17"/>
      <c r="B43" s="25" t="s">
        <v>22</v>
      </c>
      <c r="C43" s="137">
        <v>1200</v>
      </c>
      <c r="D43" s="48">
        <f>'Enterprise Budgets'!C61</f>
        <v>1200</v>
      </c>
      <c r="E43" s="48">
        <f t="shared" si="5"/>
        <v>1200</v>
      </c>
      <c r="F43" s="48">
        <f t="shared" si="5"/>
        <v>1200</v>
      </c>
      <c r="G43" s="48">
        <f t="shared" si="5"/>
        <v>1200</v>
      </c>
      <c r="H43" s="48">
        <f t="shared" si="5"/>
        <v>1200</v>
      </c>
      <c r="I43" s="48">
        <f t="shared" si="5"/>
        <v>1200</v>
      </c>
    </row>
    <row r="44" spans="1:9" ht="12.75">
      <c r="A44" s="17"/>
      <c r="B44" s="25" t="s">
        <v>232</v>
      </c>
      <c r="C44" s="189">
        <f>C39*C43*C42</f>
        <v>0</v>
      </c>
      <c r="D44" s="29">
        <f>(D39*'Enterprise Budgets'!$K$60)+'Production Plan'!C45</f>
        <v>0</v>
      </c>
      <c r="E44" s="29">
        <f>(E39*'Enterprise Budgets'!$K$60)+'Production Plan'!D45</f>
        <v>0</v>
      </c>
      <c r="F44" s="29">
        <f>(F39*'Enterprise Budgets'!$K$60)+'Production Plan'!E45</f>
        <v>0</v>
      </c>
      <c r="G44" s="29">
        <f>(G39*'Enterprise Budgets'!$K$60)+'Production Plan'!F45</f>
        <v>0</v>
      </c>
      <c r="H44" s="29">
        <f>(H39*'Enterprise Budgets'!$K$60)+'Production Plan'!G45</f>
        <v>0</v>
      </c>
      <c r="I44" s="29">
        <f>(I39*'Enterprise Budgets'!$K$60)+'Production Plan'!H45</f>
        <v>0</v>
      </c>
    </row>
    <row r="45" spans="1:9" ht="12.75">
      <c r="A45" s="17"/>
      <c r="B45" s="113" t="s">
        <v>233</v>
      </c>
      <c r="C45" s="29">
        <f>C42*C43*C39*'Enterprise Budgets'!C62/100</f>
        <v>0</v>
      </c>
      <c r="D45" s="114">
        <f>D39*'Enterprise Budgets'!$L$60</f>
        <v>0</v>
      </c>
      <c r="E45" s="114">
        <f>E39*'Enterprise Budgets'!$L$60</f>
        <v>0</v>
      </c>
      <c r="F45" s="114">
        <f>F39*'Enterprise Budgets'!$L$60</f>
        <v>0</v>
      </c>
      <c r="G45" s="114">
        <f>G39*'Enterprise Budgets'!$L$60</f>
        <v>0</v>
      </c>
      <c r="H45" s="114">
        <f>H39*'Enterprise Budgets'!$L$60</f>
        <v>0</v>
      </c>
      <c r="I45" s="114">
        <f>I39*'Enterprise Budgets'!$L$60</f>
        <v>0</v>
      </c>
    </row>
    <row r="46" spans="1:9" ht="12.75">
      <c r="A46" s="17"/>
      <c r="B46" s="24" t="str">
        <f>'Enterprise Budgets'!H57</f>
        <v>Swt. Ch. Brine-2011</v>
      </c>
      <c r="C46" s="5"/>
      <c r="D46" s="5"/>
      <c r="E46" s="5"/>
      <c r="F46" s="5"/>
      <c r="G46" s="5"/>
      <c r="H46" s="5"/>
      <c r="I46" s="6"/>
    </row>
    <row r="47" spans="1:9" ht="12.75">
      <c r="A47" s="17"/>
      <c r="B47" s="25" t="s">
        <v>12</v>
      </c>
      <c r="C47" s="134">
        <v>25</v>
      </c>
      <c r="D47" s="134">
        <v>5</v>
      </c>
      <c r="E47" s="134">
        <v>25</v>
      </c>
      <c r="F47" s="134">
        <v>25</v>
      </c>
      <c r="G47" s="134">
        <v>25</v>
      </c>
      <c r="H47" s="134">
        <v>25</v>
      </c>
      <c r="I47" s="134">
        <v>25</v>
      </c>
    </row>
    <row r="48" spans="1:9" ht="12.75">
      <c r="A48" s="17"/>
      <c r="B48" s="25" t="s">
        <v>15</v>
      </c>
      <c r="C48" s="134">
        <v>5</v>
      </c>
      <c r="D48" s="134">
        <v>25</v>
      </c>
      <c r="E48" s="134">
        <v>5</v>
      </c>
      <c r="F48" s="134">
        <v>5</v>
      </c>
      <c r="G48" s="134">
        <v>5</v>
      </c>
      <c r="H48" s="134">
        <v>5</v>
      </c>
      <c r="I48" s="134">
        <v>5</v>
      </c>
    </row>
    <row r="49" spans="1:9" ht="12.75">
      <c r="A49" s="17"/>
      <c r="B49" s="25" t="s">
        <v>18</v>
      </c>
      <c r="C49" s="134">
        <v>1</v>
      </c>
      <c r="D49" s="134">
        <v>1</v>
      </c>
      <c r="E49" s="134">
        <v>1</v>
      </c>
      <c r="F49" s="134">
        <v>1</v>
      </c>
      <c r="G49" s="134">
        <v>1</v>
      </c>
      <c r="H49" s="134">
        <v>1</v>
      </c>
      <c r="I49" s="134">
        <v>1</v>
      </c>
    </row>
    <row r="50" spans="1:9" ht="12.75">
      <c r="A50" s="17"/>
      <c r="B50" s="25" t="s">
        <v>20</v>
      </c>
      <c r="C50" s="134">
        <v>18908</v>
      </c>
      <c r="D50" s="22">
        <f>'Enterprise Budgets'!G60</f>
        <v>6500</v>
      </c>
      <c r="E50" s="22">
        <f aca="true" t="shared" si="6" ref="E50:I51">D50</f>
        <v>6500</v>
      </c>
      <c r="F50" s="22">
        <f t="shared" si="6"/>
        <v>6500</v>
      </c>
      <c r="G50" s="22">
        <f t="shared" si="6"/>
        <v>6500</v>
      </c>
      <c r="H50" s="22">
        <f t="shared" si="6"/>
        <v>6500</v>
      </c>
      <c r="I50" s="22">
        <f t="shared" si="6"/>
        <v>6500</v>
      </c>
    </row>
    <row r="51" spans="1:9" ht="12.75">
      <c r="A51" s="17"/>
      <c r="B51" s="25" t="s">
        <v>22</v>
      </c>
      <c r="C51" s="137">
        <v>0.31</v>
      </c>
      <c r="D51" s="48">
        <f>'Enterprise Budgets'!G61</f>
        <v>0.31</v>
      </c>
      <c r="E51" s="48">
        <f t="shared" si="6"/>
        <v>0.31</v>
      </c>
      <c r="F51" s="48">
        <f t="shared" si="6"/>
        <v>0.31</v>
      </c>
      <c r="G51" s="48">
        <f t="shared" si="6"/>
        <v>0.31</v>
      </c>
      <c r="H51" s="48">
        <f t="shared" si="6"/>
        <v>0.31</v>
      </c>
      <c r="I51" s="48">
        <f t="shared" si="6"/>
        <v>0.31</v>
      </c>
    </row>
    <row r="52" spans="1:9" ht="12.75">
      <c r="A52" s="17"/>
      <c r="B52" s="25" t="s">
        <v>232</v>
      </c>
      <c r="C52" s="189">
        <f>C47*C50*C51</f>
        <v>146537</v>
      </c>
      <c r="D52" s="29">
        <f>(D47*'Enterprise Budgets'!$K$66)+'Production Plan'!C53</f>
        <v>37367.4</v>
      </c>
      <c r="E52" s="29">
        <f>(E47*'Enterprise Budgets'!$K$66)+'Production Plan'!D53</f>
        <v>42315</v>
      </c>
      <c r="F52" s="29">
        <f>(F47*'Enterprise Budgets'!$K$66)+'Production Plan'!E53</f>
        <v>50375</v>
      </c>
      <c r="G52" s="29">
        <f>(G47*'Enterprise Budgets'!$K$66)+'Production Plan'!F53</f>
        <v>50375</v>
      </c>
      <c r="H52" s="29">
        <f>(H47*'Enterprise Budgets'!$K$66)+'Production Plan'!G53</f>
        <v>50375</v>
      </c>
      <c r="I52" s="29">
        <f>(I47*'Enterprise Budgets'!$K$66)+'Production Plan'!H53</f>
        <v>50375</v>
      </c>
    </row>
    <row r="53" spans="1:9" ht="12.75">
      <c r="A53" s="17"/>
      <c r="B53" s="113" t="s">
        <v>233</v>
      </c>
      <c r="C53" s="29">
        <f>C50*C51*C47*'Enterprise Budgets'!G62/100</f>
        <v>29307.4</v>
      </c>
      <c r="D53" s="120">
        <f>D47*'Enterprise Budgets'!$L$66</f>
        <v>2015</v>
      </c>
      <c r="E53" s="120">
        <f>E47*'Enterprise Budgets'!$L$66</f>
        <v>10075</v>
      </c>
      <c r="F53" s="120">
        <f>F47*'Enterprise Budgets'!$L$66</f>
        <v>10075</v>
      </c>
      <c r="G53" s="120">
        <f>G47*'Enterprise Budgets'!$L$66</f>
        <v>10075</v>
      </c>
      <c r="H53" s="120">
        <f>H47*'Enterprise Budgets'!$L$66</f>
        <v>10075</v>
      </c>
      <c r="I53" s="121">
        <f>I47*'Enterprise Budgets'!$L$66</f>
        <v>10075</v>
      </c>
    </row>
    <row r="54" spans="1:9" ht="12.75">
      <c r="A54" s="12"/>
      <c r="B54" s="24" t="str">
        <f>'Enterprise Budgets'!D82</f>
        <v>Swt Ch. Proc. DK (2011)</v>
      </c>
      <c r="C54" s="5"/>
      <c r="D54" s="5"/>
      <c r="E54" s="5"/>
      <c r="F54" s="5"/>
      <c r="G54" s="5"/>
      <c r="H54" s="5"/>
      <c r="I54" s="6"/>
    </row>
    <row r="55" spans="1:9" ht="12.75">
      <c r="A55" s="12"/>
      <c r="B55" s="25" t="s">
        <v>12</v>
      </c>
      <c r="C55" s="134">
        <v>25</v>
      </c>
      <c r="D55" s="134">
        <v>5</v>
      </c>
      <c r="E55" s="134">
        <v>25</v>
      </c>
      <c r="F55" s="134">
        <v>25</v>
      </c>
      <c r="G55" s="134">
        <v>25</v>
      </c>
      <c r="H55" s="134">
        <v>25</v>
      </c>
      <c r="I55" s="134">
        <v>25</v>
      </c>
    </row>
    <row r="56" spans="1:9" ht="12.75">
      <c r="A56" s="12"/>
      <c r="B56" s="25" t="s">
        <v>15</v>
      </c>
      <c r="C56" s="134">
        <v>5</v>
      </c>
      <c r="D56" s="134">
        <v>25</v>
      </c>
      <c r="E56" s="134">
        <v>5</v>
      </c>
      <c r="F56" s="134">
        <v>5</v>
      </c>
      <c r="G56" s="134">
        <v>5</v>
      </c>
      <c r="H56" s="134">
        <v>5</v>
      </c>
      <c r="I56" s="134">
        <v>5</v>
      </c>
    </row>
    <row r="57" spans="1:9" ht="12.75">
      <c r="A57" s="12"/>
      <c r="B57" s="25" t="s">
        <v>18</v>
      </c>
      <c r="C57" s="134">
        <v>1</v>
      </c>
      <c r="D57" s="134">
        <v>1</v>
      </c>
      <c r="E57" s="134">
        <v>1</v>
      </c>
      <c r="F57" s="134">
        <v>1</v>
      </c>
      <c r="G57" s="134">
        <v>1</v>
      </c>
      <c r="H57" s="134">
        <v>1</v>
      </c>
      <c r="I57" s="134">
        <v>1</v>
      </c>
    </row>
    <row r="58" spans="1:9" ht="12.75">
      <c r="A58" s="17"/>
      <c r="B58" s="25" t="s">
        <v>20</v>
      </c>
      <c r="C58" s="134">
        <v>5321</v>
      </c>
      <c r="D58" s="22">
        <f>'Enterprise Budgets'!C85</f>
        <v>6500</v>
      </c>
      <c r="E58" s="22">
        <f aca="true" t="shared" si="7" ref="E58:I59">D58</f>
        <v>6500</v>
      </c>
      <c r="F58" s="22">
        <f t="shared" si="7"/>
        <v>6500</v>
      </c>
      <c r="G58" s="22">
        <f t="shared" si="7"/>
        <v>6500</v>
      </c>
      <c r="H58" s="22">
        <f t="shared" si="7"/>
        <v>6500</v>
      </c>
      <c r="I58" s="22">
        <f t="shared" si="7"/>
        <v>6500</v>
      </c>
    </row>
    <row r="59" spans="1:9" ht="12.75">
      <c r="A59" s="17"/>
      <c r="B59" s="25" t="s">
        <v>22</v>
      </c>
      <c r="C59" s="137">
        <v>0.31</v>
      </c>
      <c r="D59" s="22">
        <f>'Enterprise Budgets'!C86</f>
        <v>0.31</v>
      </c>
      <c r="E59" s="48">
        <f t="shared" si="7"/>
        <v>0.31</v>
      </c>
      <c r="F59" s="48">
        <f t="shared" si="7"/>
        <v>0.31</v>
      </c>
      <c r="G59" s="48">
        <f t="shared" si="7"/>
        <v>0.31</v>
      </c>
      <c r="H59" s="48">
        <f t="shared" si="7"/>
        <v>0.31</v>
      </c>
      <c r="I59" s="48">
        <f t="shared" si="7"/>
        <v>0.31</v>
      </c>
    </row>
    <row r="60" spans="1:9" ht="12.75">
      <c r="A60" s="17"/>
      <c r="B60" s="25" t="s">
        <v>232</v>
      </c>
      <c r="C60" s="189">
        <f>C55*C58*C59</f>
        <v>41237.75</v>
      </c>
      <c r="D60" s="29">
        <f>(D55*'Enterprise Budgets'!$K$85)+'Production Plan'!C61</f>
        <v>16307.55</v>
      </c>
      <c r="E60" s="29">
        <f>(E55*'Enterprise Budgets'!$K$85)+'Production Plan'!D61</f>
        <v>42315</v>
      </c>
      <c r="F60" s="29">
        <f>(F55*'Enterprise Budgets'!$K$85)+'Production Plan'!E61</f>
        <v>50375</v>
      </c>
      <c r="G60" s="29">
        <f>(G55*'Enterprise Budgets'!$K$85)+'Production Plan'!F61</f>
        <v>50375</v>
      </c>
      <c r="H60" s="29">
        <f>(H55*'Enterprise Budgets'!$K$85)+'Production Plan'!G61</f>
        <v>50375</v>
      </c>
      <c r="I60" s="29">
        <f>(I55*'Enterprise Budgets'!$K$85)+'Production Plan'!H61</f>
        <v>50375</v>
      </c>
    </row>
    <row r="61" spans="1:9" ht="12.75">
      <c r="A61" s="17"/>
      <c r="B61" s="113" t="s">
        <v>233</v>
      </c>
      <c r="C61" s="29">
        <f>C58*C59*C55*'Enterprise Budgets'!C87/100</f>
        <v>8247.55</v>
      </c>
      <c r="D61" s="114">
        <f>D55*'Enterprise Budgets'!$L$85</f>
        <v>2015</v>
      </c>
      <c r="E61" s="114">
        <f>E55*'Enterprise Budgets'!$L$85</f>
        <v>10075</v>
      </c>
      <c r="F61" s="114">
        <f>F55*'Enterprise Budgets'!$L$85</f>
        <v>10075</v>
      </c>
      <c r="G61" s="114">
        <f>G55*'Enterprise Budgets'!$L$85</f>
        <v>10075</v>
      </c>
      <c r="H61" s="114">
        <f>H55*'Enterprise Budgets'!$L$85</f>
        <v>10075</v>
      </c>
      <c r="I61" s="114">
        <f>I55*'Enterprise Budgets'!$L$85</f>
        <v>10075</v>
      </c>
    </row>
    <row r="62" spans="1:9" ht="12.75">
      <c r="A62" s="17"/>
      <c r="B62" s="24" t="str">
        <f>'Enterprise Budgets'!H82</f>
        <v>Sweet Ch. Fresh (2011)</v>
      </c>
      <c r="C62" s="5"/>
      <c r="D62" s="5"/>
      <c r="E62" s="5"/>
      <c r="F62" s="5"/>
      <c r="G62" s="5"/>
      <c r="H62" s="5"/>
      <c r="I62" s="6"/>
    </row>
    <row r="63" spans="1:9" ht="12.75">
      <c r="A63" s="17"/>
      <c r="B63" s="25" t="s">
        <v>12</v>
      </c>
      <c r="C63" s="134">
        <v>25</v>
      </c>
      <c r="D63" s="134">
        <v>5</v>
      </c>
      <c r="E63" s="134">
        <v>25</v>
      </c>
      <c r="F63" s="134">
        <v>25</v>
      </c>
      <c r="G63" s="134">
        <v>25</v>
      </c>
      <c r="H63" s="134">
        <v>25</v>
      </c>
      <c r="I63" s="134">
        <v>25</v>
      </c>
    </row>
    <row r="64" spans="1:9" ht="12.75">
      <c r="A64" s="17"/>
      <c r="B64" s="25" t="s">
        <v>15</v>
      </c>
      <c r="C64" s="134">
        <v>5</v>
      </c>
      <c r="D64" s="134">
        <v>25</v>
      </c>
      <c r="E64" s="134">
        <v>5</v>
      </c>
      <c r="F64" s="134">
        <v>5</v>
      </c>
      <c r="G64" s="134">
        <v>5</v>
      </c>
      <c r="H64" s="134">
        <v>5</v>
      </c>
      <c r="I64" s="140">
        <v>5</v>
      </c>
    </row>
    <row r="65" spans="1:9" ht="12.75">
      <c r="A65" s="17"/>
      <c r="B65" s="25" t="s">
        <v>18</v>
      </c>
      <c r="C65" s="134">
        <v>1</v>
      </c>
      <c r="D65" s="134">
        <v>1</v>
      </c>
      <c r="E65" s="134">
        <v>1</v>
      </c>
      <c r="F65" s="134">
        <v>1</v>
      </c>
      <c r="G65" s="134">
        <v>1</v>
      </c>
      <c r="H65" s="134">
        <v>1</v>
      </c>
      <c r="I65" s="134">
        <v>1</v>
      </c>
    </row>
    <row r="66" spans="1:9" ht="12.75">
      <c r="A66" s="17"/>
      <c r="B66" s="25" t="s">
        <v>20</v>
      </c>
      <c r="C66" s="134">
        <v>7494</v>
      </c>
      <c r="D66" s="22">
        <f>'Enterprise Budgets'!G85</f>
        <v>6500</v>
      </c>
      <c r="E66" s="22">
        <f aca="true" t="shared" si="8" ref="E66:I67">D66</f>
        <v>6500</v>
      </c>
      <c r="F66" s="22">
        <f t="shared" si="8"/>
        <v>6500</v>
      </c>
      <c r="G66" s="22">
        <f t="shared" si="8"/>
        <v>6500</v>
      </c>
      <c r="H66" s="22">
        <f t="shared" si="8"/>
        <v>6500</v>
      </c>
      <c r="I66" s="22">
        <f t="shared" si="8"/>
        <v>6500</v>
      </c>
    </row>
    <row r="67" spans="1:9" ht="12.75">
      <c r="A67" s="17"/>
      <c r="B67" s="25" t="s">
        <v>22</v>
      </c>
      <c r="C67" s="137">
        <v>1.15</v>
      </c>
      <c r="D67" s="22">
        <f>'Enterprise Budgets'!G86</f>
        <v>1.15</v>
      </c>
      <c r="E67" s="48">
        <f t="shared" si="8"/>
        <v>1.15</v>
      </c>
      <c r="F67" s="48">
        <f t="shared" si="8"/>
        <v>1.15</v>
      </c>
      <c r="G67" s="48">
        <f t="shared" si="8"/>
        <v>1.15</v>
      </c>
      <c r="H67" s="48">
        <f t="shared" si="8"/>
        <v>1.15</v>
      </c>
      <c r="I67" s="48">
        <f t="shared" si="8"/>
        <v>1.15</v>
      </c>
    </row>
    <row r="68" spans="1:9" ht="12.75">
      <c r="A68" s="17"/>
      <c r="B68" s="25" t="s">
        <v>232</v>
      </c>
      <c r="C68" s="189">
        <f>C63*C66*C67</f>
        <v>215452.49999999997</v>
      </c>
      <c r="D68" s="29">
        <f>(D63*'Enterprise Budgets'!$K$91)+'Production Plan'!C69</f>
        <v>72990.49999999999</v>
      </c>
      <c r="E68" s="29">
        <f>(E63*'Enterprise Budgets'!$K$91)+'Production Plan'!D69</f>
        <v>156974.99999999997</v>
      </c>
      <c r="F68" s="29">
        <f>(F63*'Enterprise Budgets'!$K$91)+'Production Plan'!E69</f>
        <v>186874.99999999997</v>
      </c>
      <c r="G68" s="29">
        <f>(G63*'Enterprise Budgets'!$K$91)+'Production Plan'!F69</f>
        <v>186874.99999999997</v>
      </c>
      <c r="H68" s="29">
        <f>(H63*'Enterprise Budgets'!$K$91)+'Production Plan'!G69</f>
        <v>186874.99999999997</v>
      </c>
      <c r="I68" s="29">
        <f>(I63*'Enterprise Budgets'!$K$91)+'Production Plan'!H69</f>
        <v>186874.99999999997</v>
      </c>
    </row>
    <row r="69" spans="1:9" ht="12.75">
      <c r="A69" s="17"/>
      <c r="B69" s="113" t="s">
        <v>233</v>
      </c>
      <c r="C69" s="29">
        <f>C66*C67*C63*'Enterprise Budgets'!G87/100</f>
        <v>43090.49999999999</v>
      </c>
      <c r="D69" s="120">
        <f>D63*'Enterprise Budgets'!$L$91</f>
        <v>7474.999999999999</v>
      </c>
      <c r="E69" s="120">
        <f>E63*'Enterprise Budgets'!$L$91</f>
        <v>37374.99999999999</v>
      </c>
      <c r="F69" s="120">
        <f>F63*'Enterprise Budgets'!$L$91</f>
        <v>37374.99999999999</v>
      </c>
      <c r="G69" s="120">
        <f>G63*'Enterprise Budgets'!$L$91</f>
        <v>37374.99999999999</v>
      </c>
      <c r="H69" s="120">
        <f>H63*'Enterprise Budgets'!$L$91</f>
        <v>37374.99999999999</v>
      </c>
      <c r="I69" s="120">
        <f>I63*'Enterprise Budgets'!$L$91</f>
        <v>37374.99999999999</v>
      </c>
    </row>
    <row r="70" spans="1:9" ht="12.75">
      <c r="A70" s="17"/>
      <c r="B70" s="39" t="s">
        <v>64</v>
      </c>
      <c r="C70" s="66">
        <f>C12+C20+C28+C36+C44+C52+C60+C68</f>
        <v>530798.25</v>
      </c>
      <c r="D70" s="66">
        <f aca="true" t="shared" si="9" ref="D70:I70">D12+D20+D28+D36+D44+D52+D60+D68</f>
        <v>152179.64999999997</v>
      </c>
      <c r="E70" s="66">
        <f t="shared" si="9"/>
        <v>346005</v>
      </c>
      <c r="F70" s="66">
        <f t="shared" si="9"/>
        <v>418125</v>
      </c>
      <c r="G70" s="66">
        <f t="shared" si="9"/>
        <v>418125</v>
      </c>
      <c r="H70" s="66">
        <f t="shared" si="9"/>
        <v>418125</v>
      </c>
      <c r="I70" s="66">
        <f t="shared" si="9"/>
        <v>418125</v>
      </c>
    </row>
    <row r="71" spans="1:9" ht="12.75">
      <c r="A71" s="17"/>
      <c r="B71" s="79" t="s">
        <v>152</v>
      </c>
      <c r="C71" s="80">
        <f aca="true" t="shared" si="10" ref="C71:I71">C7+C8+C9+C15+C16+C17+C23+C24+C25+C31+C32+C33+C39+C40+C41+C47+C48+C49</f>
        <v>93</v>
      </c>
      <c r="D71" s="80">
        <f t="shared" si="10"/>
        <v>93</v>
      </c>
      <c r="E71" s="80">
        <f t="shared" si="10"/>
        <v>93</v>
      </c>
      <c r="F71" s="80">
        <f t="shared" si="10"/>
        <v>93</v>
      </c>
      <c r="G71" s="80">
        <f t="shared" si="10"/>
        <v>93</v>
      </c>
      <c r="H71" s="80">
        <f t="shared" si="10"/>
        <v>93</v>
      </c>
      <c r="I71" s="80">
        <f t="shared" si="10"/>
        <v>93</v>
      </c>
    </row>
    <row r="72" spans="1:9" ht="12.75">
      <c r="A72" s="17"/>
      <c r="B72" s="13"/>
      <c r="C72" s="35"/>
      <c r="D72" s="35"/>
      <c r="E72" s="65" t="s">
        <v>52</v>
      </c>
      <c r="F72" s="35"/>
      <c r="G72" s="35"/>
      <c r="H72" s="35"/>
      <c r="I72" s="49"/>
    </row>
    <row r="73" spans="1:9" ht="12.75">
      <c r="A73" s="40" t="s">
        <v>42</v>
      </c>
      <c r="B73" s="18"/>
      <c r="C73" s="18"/>
      <c r="D73" s="18"/>
      <c r="E73" s="18"/>
      <c r="F73" s="18"/>
      <c r="G73" s="18"/>
      <c r="H73" s="18"/>
      <c r="I73" s="38"/>
    </row>
    <row r="74" spans="1:9" ht="12.75">
      <c r="A74" s="17"/>
      <c r="B74" s="24" t="str">
        <f>B6</f>
        <v>Tall Spindle Apples</v>
      </c>
      <c r="C74" s="15">
        <f>C30</f>
        <v>2011</v>
      </c>
      <c r="D74" s="15">
        <f aca="true" t="shared" si="11" ref="D74:I74">D30</f>
        <v>2012</v>
      </c>
      <c r="E74" s="15">
        <f t="shared" si="11"/>
        <v>2013</v>
      </c>
      <c r="F74" s="15">
        <f t="shared" si="11"/>
        <v>2014</v>
      </c>
      <c r="G74" s="15">
        <f t="shared" si="11"/>
        <v>2015</v>
      </c>
      <c r="H74" s="15">
        <f t="shared" si="11"/>
        <v>2016</v>
      </c>
      <c r="I74" s="15">
        <f t="shared" si="11"/>
        <v>2017</v>
      </c>
    </row>
    <row r="75" spans="1:9" ht="12.75">
      <c r="A75" s="17"/>
      <c r="B75" s="25" t="s">
        <v>9</v>
      </c>
      <c r="C75" s="29">
        <f>C7*'Enterprise Budgets'!$C$27</f>
        <v>0</v>
      </c>
      <c r="D75" s="29">
        <f>D7*'Enterprise Budgets'!$C$27</f>
        <v>0</v>
      </c>
      <c r="E75" s="29">
        <f>E7*'Enterprise Budgets'!$C$27</f>
        <v>0</v>
      </c>
      <c r="F75" s="29">
        <f>F7*'Enterprise Budgets'!$C$27</f>
        <v>0</v>
      </c>
      <c r="G75" s="29">
        <f>G7*'Enterprise Budgets'!$C$27</f>
        <v>0</v>
      </c>
      <c r="H75" s="29">
        <f>H7*'Enterprise Budgets'!$C$27</f>
        <v>0</v>
      </c>
      <c r="I75" s="29">
        <f>I7*'Enterprise Budgets'!$C$27</f>
        <v>0</v>
      </c>
    </row>
    <row r="76" spans="1:9" ht="12.75">
      <c r="A76" s="17"/>
      <c r="B76" s="25" t="s">
        <v>43</v>
      </c>
      <c r="C76" s="29">
        <f>C8*'Enterprise Budgets'!$D$27</f>
        <v>0</v>
      </c>
      <c r="D76" s="29">
        <f>D8*'Enterprise Budgets'!$D$27</f>
        <v>0</v>
      </c>
      <c r="E76" s="29">
        <f>E8*'Enterprise Budgets'!$D$27</f>
        <v>0</v>
      </c>
      <c r="F76" s="29">
        <f>F8*'Enterprise Budgets'!$D$27</f>
        <v>0</v>
      </c>
      <c r="G76" s="29">
        <f>G8*'Enterprise Budgets'!$D$27</f>
        <v>0</v>
      </c>
      <c r="H76" s="29">
        <f>H8*'Enterprise Budgets'!$D$27</f>
        <v>0</v>
      </c>
      <c r="I76" s="29">
        <f>I8*'Enterprise Budgets'!$D$27</f>
        <v>0</v>
      </c>
    </row>
    <row r="77" spans="1:9" ht="12.75">
      <c r="A77" s="17"/>
      <c r="B77" s="41" t="s">
        <v>11</v>
      </c>
      <c r="C77" s="29">
        <f>C9*'Enterprise Budgets'!$E$27</f>
        <v>0</v>
      </c>
      <c r="D77" s="29">
        <f>D9*'Enterprise Budgets'!$E$27</f>
        <v>0</v>
      </c>
      <c r="E77" s="29">
        <f>E9*'Enterprise Budgets'!$E$27</f>
        <v>0</v>
      </c>
      <c r="F77" s="29">
        <f>F9*'Enterprise Budgets'!$E$27</f>
        <v>0</v>
      </c>
      <c r="G77" s="29">
        <f>G9*'Enterprise Budgets'!$E$27</f>
        <v>0</v>
      </c>
      <c r="H77" s="29">
        <f>H9*'Enterprise Budgets'!$E$27</f>
        <v>0</v>
      </c>
      <c r="I77" s="29">
        <f>I9*'Enterprise Budgets'!$E$27</f>
        <v>0</v>
      </c>
    </row>
    <row r="78" spans="1:9" ht="12.75">
      <c r="A78" s="17"/>
      <c r="B78" s="28" t="s">
        <v>32</v>
      </c>
      <c r="C78" s="21">
        <f>C75+C76+C77</f>
        <v>0</v>
      </c>
      <c r="D78" s="21">
        <f aca="true" t="shared" si="12" ref="D78:I78">D75+D76+D77</f>
        <v>0</v>
      </c>
      <c r="E78" s="21">
        <f t="shared" si="12"/>
        <v>0</v>
      </c>
      <c r="F78" s="21">
        <f t="shared" si="12"/>
        <v>0</v>
      </c>
      <c r="G78" s="21">
        <f t="shared" si="12"/>
        <v>0</v>
      </c>
      <c r="H78" s="21">
        <f t="shared" si="12"/>
        <v>0</v>
      </c>
      <c r="I78" s="21">
        <f t="shared" si="12"/>
        <v>0</v>
      </c>
    </row>
    <row r="79" spans="1:9" ht="12.75">
      <c r="A79" s="17"/>
      <c r="B79" s="24" t="str">
        <f>B14</f>
        <v>Vertical Axe Apples</v>
      </c>
      <c r="C79" s="5"/>
      <c r="D79" s="5"/>
      <c r="E79" s="5"/>
      <c r="F79" s="5"/>
      <c r="G79" s="5"/>
      <c r="H79" s="5"/>
      <c r="I79" s="6"/>
    </row>
    <row r="80" spans="1:9" ht="12.75">
      <c r="A80" s="17"/>
      <c r="B80" s="25" t="s">
        <v>9</v>
      </c>
      <c r="C80" s="29">
        <f>C15*'Enterprise Budgets'!$G$27</f>
        <v>0</v>
      </c>
      <c r="D80" s="29">
        <f>D15*'Enterprise Budgets'!$G$27</f>
        <v>0</v>
      </c>
      <c r="E80" s="29">
        <f>E15*'Enterprise Budgets'!$G$27</f>
        <v>0</v>
      </c>
      <c r="F80" s="29">
        <f>F15*'Enterprise Budgets'!$G$27</f>
        <v>0</v>
      </c>
      <c r="G80" s="29">
        <f>G15*'Enterprise Budgets'!$G$27</f>
        <v>0</v>
      </c>
      <c r="H80" s="29">
        <f>H15*'Enterprise Budgets'!$G$27</f>
        <v>0</v>
      </c>
      <c r="I80" s="29">
        <f>I15*'Enterprise Budgets'!$G$27</f>
        <v>0</v>
      </c>
    </row>
    <row r="81" spans="1:9" ht="12.75">
      <c r="A81" s="17"/>
      <c r="B81" s="25" t="s">
        <v>43</v>
      </c>
      <c r="C81" s="29">
        <f>C16*'Enterprise Budgets'!$H$27</f>
        <v>0</v>
      </c>
      <c r="D81" s="29">
        <f>D16*'Enterprise Budgets'!$H$27</f>
        <v>0</v>
      </c>
      <c r="E81" s="29">
        <f>E16*'Enterprise Budgets'!$H$27</f>
        <v>0</v>
      </c>
      <c r="F81" s="29">
        <f>F16*'Enterprise Budgets'!$H$27</f>
        <v>0</v>
      </c>
      <c r="G81" s="29">
        <f>G16*'Enterprise Budgets'!$H$27</f>
        <v>0</v>
      </c>
      <c r="H81" s="29">
        <f>H16*'Enterprise Budgets'!$H$27</f>
        <v>0</v>
      </c>
      <c r="I81" s="29">
        <f>I16*'Enterprise Budgets'!$H$27</f>
        <v>0</v>
      </c>
    </row>
    <row r="82" spans="1:9" ht="12.75">
      <c r="A82" s="17"/>
      <c r="B82" s="41" t="s">
        <v>11</v>
      </c>
      <c r="C82" s="29">
        <f>C17*'Enterprise Budgets'!$I$27</f>
        <v>0</v>
      </c>
      <c r="D82" s="29">
        <f>D17*'Enterprise Budgets'!$I$27</f>
        <v>0</v>
      </c>
      <c r="E82" s="29">
        <f>E17*'Enterprise Budgets'!$I$27</f>
        <v>0</v>
      </c>
      <c r="F82" s="29">
        <f>F17*'Enterprise Budgets'!$I$27</f>
        <v>0</v>
      </c>
      <c r="G82" s="29">
        <f>G17*'Enterprise Budgets'!$I$27</f>
        <v>0</v>
      </c>
      <c r="H82" s="29">
        <f>H17*'Enterprise Budgets'!$I$27</f>
        <v>0</v>
      </c>
      <c r="I82" s="29">
        <f>I17*'Enterprise Budgets'!$I$27</f>
        <v>0</v>
      </c>
    </row>
    <row r="83" spans="1:9" ht="12.75">
      <c r="A83" s="17"/>
      <c r="B83" s="28" t="s">
        <v>32</v>
      </c>
      <c r="C83" s="21">
        <f aca="true" t="shared" si="13" ref="C83:I83">C80+C81+C82</f>
        <v>0</v>
      </c>
      <c r="D83" s="21">
        <f t="shared" si="13"/>
        <v>0</v>
      </c>
      <c r="E83" s="21">
        <f t="shared" si="13"/>
        <v>0</v>
      </c>
      <c r="F83" s="21">
        <f t="shared" si="13"/>
        <v>0</v>
      </c>
      <c r="G83" s="21">
        <f t="shared" si="13"/>
        <v>0</v>
      </c>
      <c r="H83" s="21">
        <f t="shared" si="13"/>
        <v>0</v>
      </c>
      <c r="I83" s="21">
        <f t="shared" si="13"/>
        <v>0</v>
      </c>
    </row>
    <row r="84" spans="1:9" ht="12.75">
      <c r="A84" s="17"/>
      <c r="B84" s="24" t="str">
        <f>B22</f>
        <v>Central Leader Apples</v>
      </c>
      <c r="C84" s="5"/>
      <c r="D84" s="5"/>
      <c r="E84" s="5"/>
      <c r="F84" s="5"/>
      <c r="G84" s="5"/>
      <c r="H84" s="5"/>
      <c r="I84" s="6"/>
    </row>
    <row r="85" spans="1:9" ht="12.75">
      <c r="A85" s="17"/>
      <c r="B85" s="25" t="s">
        <v>9</v>
      </c>
      <c r="C85" s="29">
        <f>C23*'Enterprise Budgets'!$C$52</f>
        <v>0</v>
      </c>
      <c r="D85" s="29">
        <f>D23*'Enterprise Budgets'!$C$52</f>
        <v>0</v>
      </c>
      <c r="E85" s="29">
        <f>E23*'Enterprise Budgets'!$C$52</f>
        <v>0</v>
      </c>
      <c r="F85" s="29">
        <f>F23*'Enterprise Budgets'!$C$52</f>
        <v>0</v>
      </c>
      <c r="G85" s="29">
        <f>G23*'Enterprise Budgets'!$C$52</f>
        <v>0</v>
      </c>
      <c r="H85" s="29">
        <f>H23*'Enterprise Budgets'!$C$52</f>
        <v>0</v>
      </c>
      <c r="I85" s="29">
        <f>I23*'Enterprise Budgets'!$C$52</f>
        <v>0</v>
      </c>
    </row>
    <row r="86" spans="1:9" ht="12.75">
      <c r="A86" s="17"/>
      <c r="B86" s="25" t="s">
        <v>43</v>
      </c>
      <c r="C86" s="29">
        <f>C24*'Enterprise Budgets'!$D$52</f>
        <v>0</v>
      </c>
      <c r="D86" s="29">
        <f>D24*'Enterprise Budgets'!$D$52</f>
        <v>0</v>
      </c>
      <c r="E86" s="29">
        <f>E24*'Enterprise Budgets'!$D$52</f>
        <v>0</v>
      </c>
      <c r="F86" s="29">
        <f>F24*'Enterprise Budgets'!$D$52</f>
        <v>0</v>
      </c>
      <c r="G86" s="29">
        <f>G24*'Enterprise Budgets'!$D$52</f>
        <v>0</v>
      </c>
      <c r="H86" s="29">
        <f>H24*'Enterprise Budgets'!$D$52</f>
        <v>0</v>
      </c>
      <c r="I86" s="29">
        <f>I24*'Enterprise Budgets'!$D$52</f>
        <v>0</v>
      </c>
    </row>
    <row r="87" spans="1:9" ht="12.75">
      <c r="A87" s="17"/>
      <c r="B87" s="41" t="s">
        <v>11</v>
      </c>
      <c r="C87" s="29">
        <f>C25*'Enterprise Budgets'!$E$52</f>
        <v>0</v>
      </c>
      <c r="D87" s="29">
        <f>D25*'Enterprise Budgets'!$E$52</f>
        <v>0</v>
      </c>
      <c r="E87" s="29">
        <f>E25*'Enterprise Budgets'!$E$52</f>
        <v>0</v>
      </c>
      <c r="F87" s="29">
        <f>F25*'Enterprise Budgets'!$E$52</f>
        <v>0</v>
      </c>
      <c r="G87" s="29">
        <f>G25*'Enterprise Budgets'!$E$52</f>
        <v>0</v>
      </c>
      <c r="H87" s="29">
        <f>H25*'Enterprise Budgets'!$E$52</f>
        <v>0</v>
      </c>
      <c r="I87" s="29">
        <f>I25*'Enterprise Budgets'!$E$52</f>
        <v>0</v>
      </c>
    </row>
    <row r="88" spans="1:9" ht="12.75">
      <c r="A88" s="17"/>
      <c r="B88" s="28" t="s">
        <v>32</v>
      </c>
      <c r="C88" s="21">
        <f aca="true" t="shared" si="14" ref="C88:I88">C85+C86+C87</f>
        <v>0</v>
      </c>
      <c r="D88" s="21">
        <f t="shared" si="14"/>
        <v>0</v>
      </c>
      <c r="E88" s="21">
        <f t="shared" si="14"/>
        <v>0</v>
      </c>
      <c r="F88" s="21">
        <f t="shared" si="14"/>
        <v>0</v>
      </c>
      <c r="G88" s="21">
        <f t="shared" si="14"/>
        <v>0</v>
      </c>
      <c r="H88" s="21">
        <f t="shared" si="14"/>
        <v>0</v>
      </c>
      <c r="I88" s="21">
        <f t="shared" si="14"/>
        <v>0</v>
      </c>
    </row>
    <row r="89" spans="1:9" ht="12.75">
      <c r="A89" s="17"/>
      <c r="B89" s="24" t="str">
        <f>B30</f>
        <v>Cheeries Tart (2011)</v>
      </c>
      <c r="C89" s="5"/>
      <c r="D89" s="5"/>
      <c r="E89" s="5"/>
      <c r="F89" s="5"/>
      <c r="G89" s="5"/>
      <c r="H89" s="5"/>
      <c r="I89" s="6"/>
    </row>
    <row r="90" spans="1:9" ht="12.75">
      <c r="A90" s="17"/>
      <c r="B90" s="25" t="s">
        <v>9</v>
      </c>
      <c r="C90" s="29">
        <f>C31*'Enterprise Budgets'!$G$52</f>
        <v>62253.5</v>
      </c>
      <c r="D90" s="29">
        <f>D31*'Enterprise Budgets'!$G$52</f>
        <v>0</v>
      </c>
      <c r="E90" s="29">
        <f>E31*'Enterprise Budgets'!$G$52</f>
        <v>62253.5</v>
      </c>
      <c r="F90" s="29">
        <f>F31*'Enterprise Budgets'!$G$52</f>
        <v>62253.5</v>
      </c>
      <c r="G90" s="29">
        <f>G31*'Enterprise Budgets'!$G$52</f>
        <v>62253.5</v>
      </c>
      <c r="H90" s="29">
        <f>H31*'Enterprise Budgets'!$G$52</f>
        <v>62253.5</v>
      </c>
      <c r="I90" s="29">
        <f>I31*'Enterprise Budgets'!$G$52</f>
        <v>62253.5</v>
      </c>
    </row>
    <row r="91" spans="1:9" ht="12.75">
      <c r="A91" s="17"/>
      <c r="B91" s="25" t="s">
        <v>43</v>
      </c>
      <c r="C91" s="29">
        <f>C32*'Enterprise Budgets'!$H$52</f>
        <v>3007.9</v>
      </c>
      <c r="D91" s="29">
        <f>D32*'Enterprise Budgets'!$H$52</f>
        <v>18047.4</v>
      </c>
      <c r="E91" s="29">
        <f>E32*'Enterprise Budgets'!$H$52</f>
        <v>3007.9</v>
      </c>
      <c r="F91" s="29">
        <f>F32*'Enterprise Budgets'!$H$52</f>
        <v>3007.9</v>
      </c>
      <c r="G91" s="29">
        <f>G32*'Enterprise Budgets'!$H$52</f>
        <v>3007.9</v>
      </c>
      <c r="H91" s="29">
        <f>H32*'Enterprise Budgets'!$H$52</f>
        <v>3007.9</v>
      </c>
      <c r="I91" s="29">
        <f>I32*'Enterprise Budgets'!$H$52</f>
        <v>3007.9</v>
      </c>
    </row>
    <row r="92" spans="1:9" ht="12.75">
      <c r="A92" s="17"/>
      <c r="B92" s="41" t="s">
        <v>11</v>
      </c>
      <c r="C92" s="29">
        <f>C33*'Enterprise Budgets'!$I$52</f>
        <v>5229.16</v>
      </c>
      <c r="D92" s="29">
        <f>D33*'Enterprise Budgets'!$I$52</f>
        <v>5229.16</v>
      </c>
      <c r="E92" s="29">
        <f>E33*'Enterprise Budgets'!$I$52</f>
        <v>5229.16</v>
      </c>
      <c r="F92" s="29">
        <f>F33*'Enterprise Budgets'!$I$52</f>
        <v>5229.16</v>
      </c>
      <c r="G92" s="29">
        <f>G33*'Enterprise Budgets'!$I$52</f>
        <v>5229.16</v>
      </c>
      <c r="H92" s="29">
        <f>H33*'Enterprise Budgets'!$I$52</f>
        <v>5229.16</v>
      </c>
      <c r="I92" s="29">
        <f>I33*'Enterprise Budgets'!$I$52</f>
        <v>5229.16</v>
      </c>
    </row>
    <row r="93" spans="2:9" ht="12.75">
      <c r="B93" s="28" t="s">
        <v>32</v>
      </c>
      <c r="C93" s="21">
        <f aca="true" t="shared" si="15" ref="C93:I93">C90+C91+C92</f>
        <v>70490.56</v>
      </c>
      <c r="D93" s="21">
        <f t="shared" si="15"/>
        <v>23276.56</v>
      </c>
      <c r="E93" s="21">
        <f t="shared" si="15"/>
        <v>70490.56</v>
      </c>
      <c r="F93" s="21">
        <f t="shared" si="15"/>
        <v>70490.56</v>
      </c>
      <c r="G93" s="21">
        <f t="shared" si="15"/>
        <v>70490.56</v>
      </c>
      <c r="H93" s="21">
        <f t="shared" si="15"/>
        <v>70490.56</v>
      </c>
      <c r="I93" s="21">
        <f t="shared" si="15"/>
        <v>70490.56</v>
      </c>
    </row>
    <row r="94" spans="2:9" ht="12.75">
      <c r="B94" s="24" t="str">
        <f>B38</f>
        <v>Wine Grapes (2007)</v>
      </c>
      <c r="C94" s="5"/>
      <c r="D94" s="5"/>
      <c r="E94" s="5"/>
      <c r="F94" s="5"/>
      <c r="G94" s="5"/>
      <c r="H94" s="5"/>
      <c r="I94" s="6"/>
    </row>
    <row r="95" spans="2:9" ht="12.75">
      <c r="B95" s="25" t="s">
        <v>9</v>
      </c>
      <c r="C95" s="29">
        <f>C39*'Enterprise Budgets'!$C$77</f>
        <v>0</v>
      </c>
      <c r="D95" s="29">
        <f>D39*'Enterprise Budgets'!$C$77</f>
        <v>0</v>
      </c>
      <c r="E95" s="29">
        <f>E39*'Enterprise Budgets'!$C$77</f>
        <v>0</v>
      </c>
      <c r="F95" s="29">
        <f>F39*'Enterprise Budgets'!$C$77</f>
        <v>0</v>
      </c>
      <c r="G95" s="29">
        <f>G39*'Enterprise Budgets'!$C$77</f>
        <v>0</v>
      </c>
      <c r="H95" s="29">
        <f>H39*'Enterprise Budgets'!$C$77</f>
        <v>0</v>
      </c>
      <c r="I95" s="29">
        <f>I39*'Enterprise Budgets'!$C$77</f>
        <v>0</v>
      </c>
    </row>
    <row r="96" spans="2:9" ht="12.75">
      <c r="B96" s="25" t="s">
        <v>43</v>
      </c>
      <c r="C96" s="29">
        <f>C40*'Enterprise Budgets'!$D$77</f>
        <v>0</v>
      </c>
      <c r="D96" s="29">
        <f>D40*'Enterprise Budgets'!$D$77</f>
        <v>0</v>
      </c>
      <c r="E96" s="29">
        <f>E40*'Enterprise Budgets'!$D$77</f>
        <v>0</v>
      </c>
      <c r="F96" s="29">
        <f>F40*'Enterprise Budgets'!$D$77</f>
        <v>0</v>
      </c>
      <c r="G96" s="29">
        <f>G40*'Enterprise Budgets'!$D$77</f>
        <v>0</v>
      </c>
      <c r="H96" s="29">
        <f>H40*'Enterprise Budgets'!$D$77</f>
        <v>0</v>
      </c>
      <c r="I96" s="29">
        <f>I40*'Enterprise Budgets'!$D$77</f>
        <v>0</v>
      </c>
    </row>
    <row r="97" spans="2:9" ht="12.75">
      <c r="B97" s="41" t="s">
        <v>11</v>
      </c>
      <c r="C97" s="29">
        <f>C41*'Enterprise Budgets'!$E$77</f>
        <v>0</v>
      </c>
      <c r="D97" s="29">
        <f>D41*'Enterprise Budgets'!$E$77</f>
        <v>0</v>
      </c>
      <c r="E97" s="29">
        <f>E41*'Enterprise Budgets'!$E$77</f>
        <v>0</v>
      </c>
      <c r="F97" s="29">
        <f>F41*'Enterprise Budgets'!$E$77</f>
        <v>0</v>
      </c>
      <c r="G97" s="29">
        <f>G41*'Enterprise Budgets'!$E$77</f>
        <v>0</v>
      </c>
      <c r="H97" s="29">
        <f>H41*'Enterprise Budgets'!$E$77</f>
        <v>0</v>
      </c>
      <c r="I97" s="29">
        <f>I41*'Enterprise Budgets'!$E$77</f>
        <v>0</v>
      </c>
    </row>
    <row r="98" spans="2:9" ht="12.75">
      <c r="B98" s="28" t="s">
        <v>32</v>
      </c>
      <c r="C98" s="21">
        <f aca="true" t="shared" si="16" ref="C98:I98">C95+C96+C97</f>
        <v>0</v>
      </c>
      <c r="D98" s="21">
        <f t="shared" si="16"/>
        <v>0</v>
      </c>
      <c r="E98" s="21">
        <f t="shared" si="16"/>
        <v>0</v>
      </c>
      <c r="F98" s="21">
        <f t="shared" si="16"/>
        <v>0</v>
      </c>
      <c r="G98" s="21">
        <f t="shared" si="16"/>
        <v>0</v>
      </c>
      <c r="H98" s="21">
        <f t="shared" si="16"/>
        <v>0</v>
      </c>
      <c r="I98" s="21">
        <f t="shared" si="16"/>
        <v>0</v>
      </c>
    </row>
    <row r="99" spans="2:9" ht="12.75">
      <c r="B99" s="24" t="str">
        <f>B46</f>
        <v>Swt. Ch. Brine-2011</v>
      </c>
      <c r="C99" s="5"/>
      <c r="D99" s="5"/>
      <c r="E99" s="5"/>
      <c r="F99" s="5"/>
      <c r="G99" s="5"/>
      <c r="H99" s="5"/>
      <c r="I99" s="6"/>
    </row>
    <row r="100" spans="2:9" ht="12.75">
      <c r="B100" s="25" t="s">
        <v>9</v>
      </c>
      <c r="C100" s="29">
        <f>C47*'Enterprise Budgets'!$G$77</f>
        <v>34473.25</v>
      </c>
      <c r="D100" s="29">
        <f>D47*'Enterprise Budgets'!$G$77</f>
        <v>6894.650000000001</v>
      </c>
      <c r="E100" s="29">
        <f>E47*'Enterprise Budgets'!$G$77</f>
        <v>34473.25</v>
      </c>
      <c r="F100" s="29">
        <f>F47*'Enterprise Budgets'!$G$77</f>
        <v>34473.25</v>
      </c>
      <c r="G100" s="29">
        <f>G47*'Enterprise Budgets'!$G$77</f>
        <v>34473.25</v>
      </c>
      <c r="H100" s="29">
        <f>H47*'Enterprise Budgets'!$G$77</f>
        <v>34473.25</v>
      </c>
      <c r="I100" s="29">
        <f>I47*'Enterprise Budgets'!$G$77</f>
        <v>34473.25</v>
      </c>
    </row>
    <row r="101" spans="2:9" ht="12.75">
      <c r="B101" s="25" t="s">
        <v>43</v>
      </c>
      <c r="C101" s="29">
        <f>C48*'Enterprise Budgets'!$H$77</f>
        <v>1331.2</v>
      </c>
      <c r="D101" s="29">
        <f>D48*'Enterprise Budgets'!$H$77</f>
        <v>6656</v>
      </c>
      <c r="E101" s="29">
        <f>E48*'Enterprise Budgets'!$H$77</f>
        <v>1331.2</v>
      </c>
      <c r="F101" s="29">
        <f>F48*'Enterprise Budgets'!$H$77</f>
        <v>1331.2</v>
      </c>
      <c r="G101" s="29">
        <f>G48*'Enterprise Budgets'!$H$77</f>
        <v>1331.2</v>
      </c>
      <c r="H101" s="29">
        <f>H48*'Enterprise Budgets'!$H$77</f>
        <v>1331.2</v>
      </c>
      <c r="I101" s="29">
        <f>I48*'Enterprise Budgets'!$H$77</f>
        <v>1331.2</v>
      </c>
    </row>
    <row r="102" spans="2:9" ht="12.75">
      <c r="B102" s="41" t="s">
        <v>11</v>
      </c>
      <c r="C102" s="29">
        <f>C49*'Enterprise Budgets'!$I$77</f>
        <v>2419.5200000000004</v>
      </c>
      <c r="D102" s="29">
        <f>D49*'Enterprise Budgets'!$I$77</f>
        <v>2419.5200000000004</v>
      </c>
      <c r="E102" s="29">
        <f>E49*'Enterprise Budgets'!$I$77</f>
        <v>2419.5200000000004</v>
      </c>
      <c r="F102" s="29">
        <f>F49*'Enterprise Budgets'!$I$77</f>
        <v>2419.5200000000004</v>
      </c>
      <c r="G102" s="29">
        <f>G49*'Enterprise Budgets'!$I$77</f>
        <v>2419.5200000000004</v>
      </c>
      <c r="H102" s="29">
        <f>H49*'Enterprise Budgets'!$I$77</f>
        <v>2419.5200000000004</v>
      </c>
      <c r="I102" s="29">
        <f>I49*'Enterprise Budgets'!$I$77</f>
        <v>2419.5200000000004</v>
      </c>
    </row>
    <row r="103" spans="2:9" ht="12.75">
      <c r="B103" s="28" t="s">
        <v>32</v>
      </c>
      <c r="C103" s="21">
        <f aca="true" t="shared" si="17" ref="C103:I103">C100+C101+C102</f>
        <v>38223.97</v>
      </c>
      <c r="D103" s="21">
        <f t="shared" si="17"/>
        <v>15970.170000000002</v>
      </c>
      <c r="E103" s="21">
        <f t="shared" si="17"/>
        <v>38223.97</v>
      </c>
      <c r="F103" s="21">
        <f t="shared" si="17"/>
        <v>38223.97</v>
      </c>
      <c r="G103" s="21">
        <f t="shared" si="17"/>
        <v>38223.97</v>
      </c>
      <c r="H103" s="21">
        <f t="shared" si="17"/>
        <v>38223.97</v>
      </c>
      <c r="I103" s="21">
        <f t="shared" si="17"/>
        <v>38223.97</v>
      </c>
    </row>
    <row r="104" spans="2:9" ht="12.75">
      <c r="B104" s="24" t="str">
        <f>'Enterprise Budgets'!D82</f>
        <v>Swt Ch. Proc. DK (2011)</v>
      </c>
      <c r="C104" s="5"/>
      <c r="D104" s="5"/>
      <c r="E104" s="5"/>
      <c r="F104" s="5"/>
      <c r="G104" s="5"/>
      <c r="H104" s="5"/>
      <c r="I104" s="6"/>
    </row>
    <row r="105" spans="2:9" ht="12.75">
      <c r="B105" s="25" t="s">
        <v>9</v>
      </c>
      <c r="C105" s="29">
        <f>C55*'Enterprise Budgets'!$C$102</f>
        <v>34473.25</v>
      </c>
      <c r="D105" s="29">
        <f>D55*'Enterprise Budgets'!$C$102</f>
        <v>6894.650000000001</v>
      </c>
      <c r="E105" s="29">
        <f>E55*'Enterprise Budgets'!$C$102</f>
        <v>34473.25</v>
      </c>
      <c r="F105" s="29">
        <f>F55*'Enterprise Budgets'!$C$102</f>
        <v>34473.25</v>
      </c>
      <c r="G105" s="29">
        <f>G55*'Enterprise Budgets'!$C$102</f>
        <v>34473.25</v>
      </c>
      <c r="H105" s="29">
        <f>H55*'Enterprise Budgets'!$C$102</f>
        <v>34473.25</v>
      </c>
      <c r="I105" s="29">
        <f>I55*'Enterprise Budgets'!$C$102</f>
        <v>34473.25</v>
      </c>
    </row>
    <row r="106" spans="2:9" ht="12.75">
      <c r="B106" s="25" t="s">
        <v>43</v>
      </c>
      <c r="C106" s="29">
        <f>C56*'Enterprise Budgets'!$D$102</f>
        <v>1331.2</v>
      </c>
      <c r="D106" s="29">
        <f>D56*'Enterprise Budgets'!$D$102</f>
        <v>6656</v>
      </c>
      <c r="E106" s="29">
        <f>E56*'Enterprise Budgets'!$D$102</f>
        <v>1331.2</v>
      </c>
      <c r="F106" s="29">
        <f>F56*'Enterprise Budgets'!$D$102</f>
        <v>1331.2</v>
      </c>
      <c r="G106" s="29">
        <f>G56*'Enterprise Budgets'!$D$102</f>
        <v>1331.2</v>
      </c>
      <c r="H106" s="29">
        <f>H56*'Enterprise Budgets'!$D$102</f>
        <v>1331.2</v>
      </c>
      <c r="I106" s="29">
        <f>I56*'Enterprise Budgets'!$D$102</f>
        <v>1331.2</v>
      </c>
    </row>
    <row r="107" spans="2:9" ht="12.75">
      <c r="B107" s="41" t="s">
        <v>11</v>
      </c>
      <c r="C107" s="29">
        <f>C57*'Enterprise Budgets'!$E$102</f>
        <v>2419.5200000000004</v>
      </c>
      <c r="D107" s="29">
        <f>D57*'Enterprise Budgets'!$E$102</f>
        <v>2419.5200000000004</v>
      </c>
      <c r="E107" s="29">
        <f>E57*'Enterprise Budgets'!$E$102</f>
        <v>2419.5200000000004</v>
      </c>
      <c r="F107" s="29">
        <f>F57*'Enterprise Budgets'!$E$102</f>
        <v>2419.5200000000004</v>
      </c>
      <c r="G107" s="29">
        <f>G57*'Enterprise Budgets'!$E$102</f>
        <v>2419.5200000000004</v>
      </c>
      <c r="H107" s="29">
        <f>H57*'Enterprise Budgets'!$E$102</f>
        <v>2419.5200000000004</v>
      </c>
      <c r="I107" s="29">
        <f>I57*'Enterprise Budgets'!$E$102</f>
        <v>2419.5200000000004</v>
      </c>
    </row>
    <row r="108" spans="2:9" ht="12.75">
      <c r="B108" s="28" t="s">
        <v>32</v>
      </c>
      <c r="C108" s="21">
        <f aca="true" t="shared" si="18" ref="C108:I108">C105+C106+C107</f>
        <v>38223.97</v>
      </c>
      <c r="D108" s="21">
        <f t="shared" si="18"/>
        <v>15970.170000000002</v>
      </c>
      <c r="E108" s="21">
        <f t="shared" si="18"/>
        <v>38223.97</v>
      </c>
      <c r="F108" s="21">
        <f t="shared" si="18"/>
        <v>38223.97</v>
      </c>
      <c r="G108" s="21">
        <f t="shared" si="18"/>
        <v>38223.97</v>
      </c>
      <c r="H108" s="21">
        <f t="shared" si="18"/>
        <v>38223.97</v>
      </c>
      <c r="I108" s="21">
        <f t="shared" si="18"/>
        <v>38223.97</v>
      </c>
    </row>
    <row r="109" spans="2:9" ht="12.75">
      <c r="B109" s="24" t="str">
        <f>'Enterprise Budgets'!H82</f>
        <v>Sweet Ch. Fresh (2011)</v>
      </c>
      <c r="C109" s="5"/>
      <c r="D109" s="5"/>
      <c r="E109" s="5"/>
      <c r="F109" s="5"/>
      <c r="G109" s="5"/>
      <c r="H109" s="5"/>
      <c r="I109" s="6"/>
    </row>
    <row r="110" spans="2:9" ht="12.75">
      <c r="B110" s="25" t="s">
        <v>9</v>
      </c>
      <c r="C110" s="29">
        <f>C63*'Enterprise Budgets'!$G$102</f>
        <v>89910.75</v>
      </c>
      <c r="D110" s="29">
        <f>D63*'Enterprise Budgets'!$G$102</f>
        <v>17982.15</v>
      </c>
      <c r="E110" s="29">
        <f>E63*'Enterprise Budgets'!$G$102</f>
        <v>89910.75</v>
      </c>
      <c r="F110" s="29">
        <f>F63*'Enterprise Budgets'!$G$102</f>
        <v>89910.75</v>
      </c>
      <c r="G110" s="29">
        <f>G63*'Enterprise Budgets'!$G$102</f>
        <v>89910.75</v>
      </c>
      <c r="H110" s="29">
        <f>H63*'Enterprise Budgets'!$G$102</f>
        <v>89910.75</v>
      </c>
      <c r="I110" s="29">
        <f>I63*'Enterprise Budgets'!$G$102</f>
        <v>89910.75</v>
      </c>
    </row>
    <row r="111" spans="2:9" ht="12.75">
      <c r="B111" s="25" t="s">
        <v>43</v>
      </c>
      <c r="C111" s="29">
        <f>C64*'Enterprise Budgets'!$H$102</f>
        <v>1331.2</v>
      </c>
      <c r="D111" s="29">
        <f>D64*'Enterprise Budgets'!$H$102</f>
        <v>6656</v>
      </c>
      <c r="E111" s="29">
        <f>E64*'Enterprise Budgets'!$H$102</f>
        <v>1331.2</v>
      </c>
      <c r="F111" s="29">
        <f>F64*'Enterprise Budgets'!$H$102</f>
        <v>1331.2</v>
      </c>
      <c r="G111" s="29">
        <f>G64*'Enterprise Budgets'!$H$102</f>
        <v>1331.2</v>
      </c>
      <c r="H111" s="29">
        <f>H64*'Enterprise Budgets'!$H$102</f>
        <v>1331.2</v>
      </c>
      <c r="I111" s="29">
        <f>I64*'Enterprise Budgets'!$H$102</f>
        <v>1331.2</v>
      </c>
    </row>
    <row r="112" spans="2:9" ht="12.75">
      <c r="B112" s="41" t="s">
        <v>11</v>
      </c>
      <c r="C112" s="29">
        <f>C65*'Enterprise Budgets'!$I$102</f>
        <v>2419.5200000000004</v>
      </c>
      <c r="D112" s="29">
        <f>D65*'Enterprise Budgets'!$I$102</f>
        <v>2419.5200000000004</v>
      </c>
      <c r="E112" s="29">
        <f>E65*'Enterprise Budgets'!$I$102</f>
        <v>2419.5200000000004</v>
      </c>
      <c r="F112" s="29">
        <f>F65*'Enterprise Budgets'!$I$102</f>
        <v>2419.5200000000004</v>
      </c>
      <c r="G112" s="29">
        <f>G65*'Enterprise Budgets'!$I$102</f>
        <v>2419.5200000000004</v>
      </c>
      <c r="H112" s="29">
        <f>H65*'Enterprise Budgets'!$I$102</f>
        <v>2419.5200000000004</v>
      </c>
      <c r="I112" s="29">
        <f>I65*'Enterprise Budgets'!$I$102</f>
        <v>2419.5200000000004</v>
      </c>
    </row>
    <row r="113" spans="2:9" ht="12.75">
      <c r="B113" s="28" t="s">
        <v>32</v>
      </c>
      <c r="C113" s="21">
        <f aca="true" t="shared" si="19" ref="C113:I113">C110+C111+C112</f>
        <v>93661.47</v>
      </c>
      <c r="D113" s="21">
        <f t="shared" si="19"/>
        <v>27057.670000000002</v>
      </c>
      <c r="E113" s="21">
        <f t="shared" si="19"/>
        <v>93661.47</v>
      </c>
      <c r="F113" s="21">
        <f t="shared" si="19"/>
        <v>93661.47</v>
      </c>
      <c r="G113" s="21">
        <f t="shared" si="19"/>
        <v>93661.47</v>
      </c>
      <c r="H113" s="21">
        <f t="shared" si="19"/>
        <v>93661.47</v>
      </c>
      <c r="I113" s="21">
        <f t="shared" si="19"/>
        <v>93661.47</v>
      </c>
    </row>
    <row r="115" spans="1:9" ht="12.75">
      <c r="A115" s="54" t="s">
        <v>65</v>
      </c>
      <c r="C115" s="2">
        <f>C74</f>
        <v>2011</v>
      </c>
      <c r="D115" s="2">
        <f aca="true" t="shared" si="20" ref="D115:I115">D74</f>
        <v>2012</v>
      </c>
      <c r="E115" s="2">
        <f t="shared" si="20"/>
        <v>2013</v>
      </c>
      <c r="F115" s="2">
        <f t="shared" si="20"/>
        <v>2014</v>
      </c>
      <c r="G115" s="2">
        <f t="shared" si="20"/>
        <v>2015</v>
      </c>
      <c r="H115" s="2">
        <f t="shared" si="20"/>
        <v>2016</v>
      </c>
      <c r="I115" s="2">
        <f t="shared" si="20"/>
        <v>2017</v>
      </c>
    </row>
    <row r="116" spans="2:9" ht="12.75">
      <c r="B116" t="str">
        <f>B74</f>
        <v>Tall Spindle Apples</v>
      </c>
      <c r="C116" s="64">
        <f aca="true" t="shared" si="21" ref="C116:I116">C12-C78</f>
        <v>0</v>
      </c>
      <c r="D116" s="64">
        <f t="shared" si="21"/>
        <v>0</v>
      </c>
      <c r="E116" s="64">
        <f t="shared" si="21"/>
        <v>0</v>
      </c>
      <c r="F116" s="64">
        <f t="shared" si="21"/>
        <v>0</v>
      </c>
      <c r="G116" s="64">
        <f t="shared" si="21"/>
        <v>0</v>
      </c>
      <c r="H116" s="64">
        <f t="shared" si="21"/>
        <v>0</v>
      </c>
      <c r="I116" s="64">
        <f t="shared" si="21"/>
        <v>0</v>
      </c>
    </row>
    <row r="117" spans="2:9" ht="12.75">
      <c r="B117" t="str">
        <f>B79</f>
        <v>Vertical Axe Apples</v>
      </c>
      <c r="C117" s="64">
        <f aca="true" t="shared" si="22" ref="C117:I117">C20-C83</f>
        <v>0</v>
      </c>
      <c r="D117" s="64">
        <f t="shared" si="22"/>
        <v>0</v>
      </c>
      <c r="E117" s="64">
        <f t="shared" si="22"/>
        <v>0</v>
      </c>
      <c r="F117" s="64">
        <f t="shared" si="22"/>
        <v>0</v>
      </c>
      <c r="G117" s="64">
        <f t="shared" si="22"/>
        <v>0</v>
      </c>
      <c r="H117" s="64">
        <f t="shared" si="22"/>
        <v>0</v>
      </c>
      <c r="I117" s="64">
        <f t="shared" si="22"/>
        <v>0</v>
      </c>
    </row>
    <row r="118" spans="2:9" ht="12.75">
      <c r="B118" t="str">
        <f>B84</f>
        <v>Central Leader Apples</v>
      </c>
      <c r="C118" s="64">
        <f aca="true" t="shared" si="23" ref="C118:I118">C28-C88</f>
        <v>0</v>
      </c>
      <c r="D118" s="64">
        <f t="shared" si="23"/>
        <v>0</v>
      </c>
      <c r="E118" s="64">
        <f t="shared" si="23"/>
        <v>0</v>
      </c>
      <c r="F118" s="64">
        <f t="shared" si="23"/>
        <v>0</v>
      </c>
      <c r="G118" s="64">
        <f t="shared" si="23"/>
        <v>0</v>
      </c>
      <c r="H118" s="64">
        <f t="shared" si="23"/>
        <v>0</v>
      </c>
      <c r="I118" s="64">
        <f t="shared" si="23"/>
        <v>0</v>
      </c>
    </row>
    <row r="119" spans="2:9" ht="12.75">
      <c r="B119" t="str">
        <f>B89</f>
        <v>Cheeries Tart (2011)</v>
      </c>
      <c r="C119" s="64">
        <f aca="true" t="shared" si="24" ref="C119:I119">C36-C93</f>
        <v>57080.43999999999</v>
      </c>
      <c r="D119" s="64">
        <f t="shared" si="24"/>
        <v>2237.639999999996</v>
      </c>
      <c r="E119" s="64">
        <f t="shared" si="24"/>
        <v>33909.44</v>
      </c>
      <c r="F119" s="64">
        <f t="shared" si="24"/>
        <v>60009.44</v>
      </c>
      <c r="G119" s="64">
        <f t="shared" si="24"/>
        <v>60009.44</v>
      </c>
      <c r="H119" s="64">
        <f t="shared" si="24"/>
        <v>60009.44</v>
      </c>
      <c r="I119" s="64">
        <f t="shared" si="24"/>
        <v>60009.44</v>
      </c>
    </row>
    <row r="120" spans="2:9" ht="12.75">
      <c r="B120" t="str">
        <f>B94</f>
        <v>Wine Grapes (2007)</v>
      </c>
      <c r="C120" s="64">
        <f aca="true" t="shared" si="25" ref="C120:I120">C44-C98</f>
        <v>0</v>
      </c>
      <c r="D120" s="64">
        <f t="shared" si="25"/>
        <v>0</v>
      </c>
      <c r="E120" s="64">
        <f t="shared" si="25"/>
        <v>0</v>
      </c>
      <c r="F120" s="64">
        <f t="shared" si="25"/>
        <v>0</v>
      </c>
      <c r="G120" s="64">
        <f t="shared" si="25"/>
        <v>0</v>
      </c>
      <c r="H120" s="64">
        <f t="shared" si="25"/>
        <v>0</v>
      </c>
      <c r="I120" s="64">
        <f t="shared" si="25"/>
        <v>0</v>
      </c>
    </row>
    <row r="121" spans="2:9" ht="12.75">
      <c r="B121" t="str">
        <f>B99</f>
        <v>Swt. Ch. Brine-2011</v>
      </c>
      <c r="C121" s="64">
        <f aca="true" t="shared" si="26" ref="C121:I121">C52-C103</f>
        <v>108313.03</v>
      </c>
      <c r="D121" s="64">
        <f t="shared" si="26"/>
        <v>21397.23</v>
      </c>
      <c r="E121" s="64">
        <f t="shared" si="26"/>
        <v>4091.029999999999</v>
      </c>
      <c r="F121" s="64">
        <f t="shared" si="26"/>
        <v>12151.029999999999</v>
      </c>
      <c r="G121" s="64">
        <f t="shared" si="26"/>
        <v>12151.029999999999</v>
      </c>
      <c r="H121" s="64">
        <f t="shared" si="26"/>
        <v>12151.029999999999</v>
      </c>
      <c r="I121" s="64">
        <f t="shared" si="26"/>
        <v>12151.029999999999</v>
      </c>
    </row>
    <row r="122" spans="2:9" ht="12.75">
      <c r="B122" t="str">
        <f>B54</f>
        <v>Swt Ch. Proc. DK (2011)</v>
      </c>
      <c r="C122" s="64">
        <f>C60-C108</f>
        <v>3013.779999999999</v>
      </c>
      <c r="D122" s="64">
        <f aca="true" t="shared" si="27" ref="D122:I122">D60-D108</f>
        <v>337.3799999999974</v>
      </c>
      <c r="E122" s="64">
        <f t="shared" si="27"/>
        <v>4091.029999999999</v>
      </c>
      <c r="F122" s="64">
        <f t="shared" si="27"/>
        <v>12151.029999999999</v>
      </c>
      <c r="G122" s="64">
        <f t="shared" si="27"/>
        <v>12151.029999999999</v>
      </c>
      <c r="H122" s="64">
        <f t="shared" si="27"/>
        <v>12151.029999999999</v>
      </c>
      <c r="I122" s="64">
        <f t="shared" si="27"/>
        <v>12151.029999999999</v>
      </c>
    </row>
    <row r="123" spans="2:9" ht="12.75">
      <c r="B123" t="str">
        <f>B62</f>
        <v>Sweet Ch. Fresh (2011)</v>
      </c>
      <c r="C123" s="64">
        <f>C68-C113</f>
        <v>121791.02999999997</v>
      </c>
      <c r="D123" s="64">
        <f aca="true" t="shared" si="28" ref="D123:I123">D68-D113</f>
        <v>45932.82999999999</v>
      </c>
      <c r="E123" s="64">
        <f t="shared" si="28"/>
        <v>63313.52999999997</v>
      </c>
      <c r="F123" s="64">
        <f t="shared" si="28"/>
        <v>93213.52999999997</v>
      </c>
      <c r="G123" s="64">
        <f t="shared" si="28"/>
        <v>93213.52999999997</v>
      </c>
      <c r="H123" s="64">
        <f t="shared" si="28"/>
        <v>93213.52999999997</v>
      </c>
      <c r="I123" s="64">
        <f t="shared" si="28"/>
        <v>93213.52999999997</v>
      </c>
    </row>
    <row r="124" spans="2:9" ht="12.75">
      <c r="B124" s="7" t="s">
        <v>66</v>
      </c>
      <c r="C124" s="64">
        <f>SUM(C116:C123)</f>
        <v>290198.2799999999</v>
      </c>
      <c r="D124" s="64">
        <f aca="true" t="shared" si="29" ref="D124:I124">SUM(D116:D123)</f>
        <v>69905.07999999999</v>
      </c>
      <c r="E124" s="64">
        <f t="shared" si="29"/>
        <v>105405.02999999997</v>
      </c>
      <c r="F124" s="64">
        <f t="shared" si="29"/>
        <v>177525.02999999997</v>
      </c>
      <c r="G124" s="64">
        <f t="shared" si="29"/>
        <v>177525.02999999997</v>
      </c>
      <c r="H124" s="64">
        <f t="shared" si="29"/>
        <v>177525.02999999997</v>
      </c>
      <c r="I124" s="64">
        <f t="shared" si="29"/>
        <v>177525.02999999997</v>
      </c>
    </row>
    <row r="125" ht="12.75">
      <c r="A125" s="40" t="s">
        <v>263</v>
      </c>
    </row>
    <row r="126" spans="1:9" ht="12.75">
      <c r="A126" s="17"/>
      <c r="B126" t="str">
        <f aca="true" t="shared" si="30" ref="B126:B131">B116</f>
        <v>Tall Spindle Apples</v>
      </c>
      <c r="C126">
        <f>C7+C8+C9</f>
        <v>0</v>
      </c>
      <c r="D126">
        <f aca="true" t="shared" si="31" ref="D126:I126">D7+D8+D9</f>
        <v>0</v>
      </c>
      <c r="E126">
        <f t="shared" si="31"/>
        <v>0</v>
      </c>
      <c r="F126">
        <f t="shared" si="31"/>
        <v>0</v>
      </c>
      <c r="G126">
        <f t="shared" si="31"/>
        <v>0</v>
      </c>
      <c r="H126">
        <f t="shared" si="31"/>
        <v>0</v>
      </c>
      <c r="I126">
        <f t="shared" si="31"/>
        <v>0</v>
      </c>
    </row>
    <row r="127" spans="1:9" ht="12.75">
      <c r="A127" s="19"/>
      <c r="B127" t="str">
        <f t="shared" si="30"/>
        <v>Vertical Axe Apples</v>
      </c>
      <c r="C127">
        <f>C15+C16+C17</f>
        <v>0</v>
      </c>
      <c r="D127">
        <f aca="true" t="shared" si="32" ref="D127:I127">D15+D16+D17</f>
        <v>0</v>
      </c>
      <c r="E127">
        <f t="shared" si="32"/>
        <v>0</v>
      </c>
      <c r="F127">
        <f t="shared" si="32"/>
        <v>0</v>
      </c>
      <c r="G127">
        <f t="shared" si="32"/>
        <v>0</v>
      </c>
      <c r="H127">
        <f t="shared" si="32"/>
        <v>0</v>
      </c>
      <c r="I127">
        <f t="shared" si="32"/>
        <v>0</v>
      </c>
    </row>
    <row r="128" spans="2:9" ht="12.75">
      <c r="B128" t="str">
        <f t="shared" si="30"/>
        <v>Central Leader Apples</v>
      </c>
      <c r="C128">
        <f>C23+C24+C25</f>
        <v>0</v>
      </c>
      <c r="D128">
        <f aca="true" t="shared" si="33" ref="D128:I128">D23+D24+D25</f>
        <v>0</v>
      </c>
      <c r="E128">
        <f t="shared" si="33"/>
        <v>0</v>
      </c>
      <c r="F128">
        <f t="shared" si="33"/>
        <v>0</v>
      </c>
      <c r="G128">
        <f t="shared" si="33"/>
        <v>0</v>
      </c>
      <c r="H128">
        <f t="shared" si="33"/>
        <v>0</v>
      </c>
      <c r="I128">
        <f t="shared" si="33"/>
        <v>0</v>
      </c>
    </row>
    <row r="129" spans="2:9" ht="12.75">
      <c r="B129" t="str">
        <f t="shared" si="30"/>
        <v>Cheeries Tart (2011)</v>
      </c>
      <c r="C129">
        <f>C31+C32+C33</f>
        <v>62</v>
      </c>
      <c r="D129">
        <f aca="true" t="shared" si="34" ref="D129:I129">D31+D32+D33</f>
        <v>62</v>
      </c>
      <c r="E129">
        <f t="shared" si="34"/>
        <v>62</v>
      </c>
      <c r="F129">
        <f t="shared" si="34"/>
        <v>62</v>
      </c>
      <c r="G129">
        <f t="shared" si="34"/>
        <v>62</v>
      </c>
      <c r="H129">
        <f t="shared" si="34"/>
        <v>62</v>
      </c>
      <c r="I129">
        <f t="shared" si="34"/>
        <v>62</v>
      </c>
    </row>
    <row r="130" spans="2:9" ht="12.75">
      <c r="B130" t="str">
        <f t="shared" si="30"/>
        <v>Wine Grapes (2007)</v>
      </c>
      <c r="C130">
        <f>C39+C40+C41</f>
        <v>0</v>
      </c>
      <c r="D130">
        <f aca="true" t="shared" si="35" ref="D130:I130">D39+D40+D41</f>
        <v>0</v>
      </c>
      <c r="E130">
        <f t="shared" si="35"/>
        <v>0</v>
      </c>
      <c r="F130">
        <f t="shared" si="35"/>
        <v>0</v>
      </c>
      <c r="G130">
        <f t="shared" si="35"/>
        <v>0</v>
      </c>
      <c r="H130">
        <f t="shared" si="35"/>
        <v>0</v>
      </c>
      <c r="I130">
        <f t="shared" si="35"/>
        <v>0</v>
      </c>
    </row>
    <row r="131" spans="2:9" ht="12.75">
      <c r="B131" t="str">
        <f t="shared" si="30"/>
        <v>Swt. Ch. Brine-2011</v>
      </c>
      <c r="C131">
        <f>C47+C48+C49</f>
        <v>31</v>
      </c>
      <c r="D131">
        <f aca="true" t="shared" si="36" ref="D131:I131">D47+D48+D49</f>
        <v>31</v>
      </c>
      <c r="E131">
        <f t="shared" si="36"/>
        <v>31</v>
      </c>
      <c r="F131">
        <f t="shared" si="36"/>
        <v>31</v>
      </c>
      <c r="G131">
        <f t="shared" si="36"/>
        <v>31</v>
      </c>
      <c r="H131">
        <f t="shared" si="36"/>
        <v>31</v>
      </c>
      <c r="I131">
        <f t="shared" si="36"/>
        <v>31</v>
      </c>
    </row>
    <row r="132" spans="2:9" ht="12.75">
      <c r="B132" t="str">
        <f>B122</f>
        <v>Swt Ch. Proc. DK (2011)</v>
      </c>
      <c r="C132">
        <f>C55+C56+C57</f>
        <v>31</v>
      </c>
      <c r="D132">
        <f aca="true" t="shared" si="37" ref="D132:I132">D55+D56+D57</f>
        <v>31</v>
      </c>
      <c r="E132">
        <f t="shared" si="37"/>
        <v>31</v>
      </c>
      <c r="F132">
        <f t="shared" si="37"/>
        <v>31</v>
      </c>
      <c r="G132">
        <f t="shared" si="37"/>
        <v>31</v>
      </c>
      <c r="H132">
        <f t="shared" si="37"/>
        <v>31</v>
      </c>
      <c r="I132">
        <f t="shared" si="37"/>
        <v>31</v>
      </c>
    </row>
    <row r="133" spans="2:9" ht="12.75">
      <c r="B133" t="str">
        <f>B123</f>
        <v>Sweet Ch. Fresh (2011)</v>
      </c>
      <c r="C133">
        <f>C63+C64+C65</f>
        <v>31</v>
      </c>
      <c r="D133">
        <f aca="true" t="shared" si="38" ref="D133:I133">D63+D64+D65</f>
        <v>31</v>
      </c>
      <c r="E133">
        <f t="shared" si="38"/>
        <v>31</v>
      </c>
      <c r="F133">
        <f t="shared" si="38"/>
        <v>31</v>
      </c>
      <c r="G133">
        <f t="shared" si="38"/>
        <v>31</v>
      </c>
      <c r="H133">
        <f t="shared" si="38"/>
        <v>31</v>
      </c>
      <c r="I133">
        <f t="shared" si="38"/>
        <v>31</v>
      </c>
    </row>
    <row r="134" ht="12.75">
      <c r="A134" s="54" t="s">
        <v>264</v>
      </c>
    </row>
    <row r="135" spans="2:9" ht="12.75">
      <c r="B135" t="str">
        <f aca="true" t="shared" si="39" ref="B135:B140">B116</f>
        <v>Tall Spindle Apples</v>
      </c>
      <c r="C135" s="128" t="e">
        <f aca="true" t="shared" si="40" ref="C135:C142">C116/C126</f>
        <v>#DIV/0!</v>
      </c>
      <c r="D135" s="128" t="e">
        <f aca="true" t="shared" si="41" ref="D135:I135">D116/D126</f>
        <v>#DIV/0!</v>
      </c>
      <c r="E135" s="128" t="e">
        <f t="shared" si="41"/>
        <v>#DIV/0!</v>
      </c>
      <c r="F135" s="128" t="e">
        <f t="shared" si="41"/>
        <v>#DIV/0!</v>
      </c>
      <c r="G135" s="128" t="e">
        <f t="shared" si="41"/>
        <v>#DIV/0!</v>
      </c>
      <c r="H135" s="128" t="e">
        <f t="shared" si="41"/>
        <v>#DIV/0!</v>
      </c>
      <c r="I135" s="128" t="e">
        <f t="shared" si="41"/>
        <v>#DIV/0!</v>
      </c>
    </row>
    <row r="136" spans="2:9" ht="12.75">
      <c r="B136" t="str">
        <f t="shared" si="39"/>
        <v>Vertical Axe Apples</v>
      </c>
      <c r="C136" s="128" t="e">
        <f t="shared" si="40"/>
        <v>#DIV/0!</v>
      </c>
      <c r="D136" s="128" t="e">
        <f aca="true" t="shared" si="42" ref="D136:I140">D117/D127</f>
        <v>#DIV/0!</v>
      </c>
      <c r="E136" s="128" t="e">
        <f t="shared" si="42"/>
        <v>#DIV/0!</v>
      </c>
      <c r="F136" s="128" t="e">
        <f t="shared" si="42"/>
        <v>#DIV/0!</v>
      </c>
      <c r="G136" s="128" t="e">
        <f t="shared" si="42"/>
        <v>#DIV/0!</v>
      </c>
      <c r="H136" s="128" t="e">
        <f t="shared" si="42"/>
        <v>#DIV/0!</v>
      </c>
      <c r="I136" s="128" t="e">
        <f t="shared" si="42"/>
        <v>#DIV/0!</v>
      </c>
    </row>
    <row r="137" spans="2:9" ht="12.75">
      <c r="B137" t="str">
        <f t="shared" si="39"/>
        <v>Central Leader Apples</v>
      </c>
      <c r="C137" s="128" t="e">
        <f t="shared" si="40"/>
        <v>#DIV/0!</v>
      </c>
      <c r="D137" s="128" t="e">
        <f t="shared" si="42"/>
        <v>#DIV/0!</v>
      </c>
      <c r="E137" s="128" t="e">
        <f t="shared" si="42"/>
        <v>#DIV/0!</v>
      </c>
      <c r="F137" s="128" t="e">
        <f t="shared" si="42"/>
        <v>#DIV/0!</v>
      </c>
      <c r="G137" s="128" t="e">
        <f t="shared" si="42"/>
        <v>#DIV/0!</v>
      </c>
      <c r="H137" s="128" t="e">
        <f t="shared" si="42"/>
        <v>#DIV/0!</v>
      </c>
      <c r="I137" s="128" t="e">
        <f t="shared" si="42"/>
        <v>#DIV/0!</v>
      </c>
    </row>
    <row r="138" spans="2:9" ht="12.75">
      <c r="B138" t="str">
        <f t="shared" si="39"/>
        <v>Cheeries Tart (2011)</v>
      </c>
      <c r="C138" s="128">
        <f t="shared" si="40"/>
        <v>920.6522580645159</v>
      </c>
      <c r="D138" s="128">
        <f t="shared" si="42"/>
        <v>36.090967741935415</v>
      </c>
      <c r="E138" s="128">
        <f t="shared" si="42"/>
        <v>546.9264516129033</v>
      </c>
      <c r="F138" s="128">
        <f t="shared" si="42"/>
        <v>967.8941935483871</v>
      </c>
      <c r="G138" s="128">
        <f t="shared" si="42"/>
        <v>967.8941935483871</v>
      </c>
      <c r="H138" s="128">
        <f t="shared" si="42"/>
        <v>967.8941935483871</v>
      </c>
      <c r="I138" s="128">
        <f t="shared" si="42"/>
        <v>967.8941935483871</v>
      </c>
    </row>
    <row r="139" spans="2:9" ht="12.75">
      <c r="B139" t="str">
        <f t="shared" si="39"/>
        <v>Wine Grapes (2007)</v>
      </c>
      <c r="C139" s="128" t="e">
        <f t="shared" si="40"/>
        <v>#DIV/0!</v>
      </c>
      <c r="D139" s="128" t="e">
        <f t="shared" si="42"/>
        <v>#DIV/0!</v>
      </c>
      <c r="E139" s="128" t="e">
        <f t="shared" si="42"/>
        <v>#DIV/0!</v>
      </c>
      <c r="F139" s="128" t="e">
        <f t="shared" si="42"/>
        <v>#DIV/0!</v>
      </c>
      <c r="G139" s="128" t="e">
        <f t="shared" si="42"/>
        <v>#DIV/0!</v>
      </c>
      <c r="H139" s="128" t="e">
        <f t="shared" si="42"/>
        <v>#DIV/0!</v>
      </c>
      <c r="I139" s="128" t="e">
        <f t="shared" si="42"/>
        <v>#DIV/0!</v>
      </c>
    </row>
    <row r="140" spans="2:9" ht="12.75">
      <c r="B140" t="str">
        <f t="shared" si="39"/>
        <v>Swt. Ch. Brine-2011</v>
      </c>
      <c r="C140" s="128">
        <f t="shared" si="40"/>
        <v>3493.968709677419</v>
      </c>
      <c r="D140" s="128">
        <f t="shared" si="42"/>
        <v>690.2332258064516</v>
      </c>
      <c r="E140" s="128">
        <f t="shared" si="42"/>
        <v>131.96870967741933</v>
      </c>
      <c r="F140" s="128">
        <f t="shared" si="42"/>
        <v>391.9687096774193</v>
      </c>
      <c r="G140" s="128">
        <f t="shared" si="42"/>
        <v>391.9687096774193</v>
      </c>
      <c r="H140" s="128">
        <f t="shared" si="42"/>
        <v>391.9687096774193</v>
      </c>
      <c r="I140" s="128">
        <f t="shared" si="42"/>
        <v>391.9687096774193</v>
      </c>
    </row>
    <row r="141" spans="2:9" ht="12.75">
      <c r="B141" t="str">
        <f>B122</f>
        <v>Swt Ch. Proc. DK (2011)</v>
      </c>
      <c r="C141" s="128">
        <f t="shared" si="40"/>
        <v>97.21870967741931</v>
      </c>
      <c r="D141" s="128">
        <f aca="true" t="shared" si="43" ref="D141:I142">D122/D132</f>
        <v>10.883225806451529</v>
      </c>
      <c r="E141" s="128">
        <f t="shared" si="43"/>
        <v>131.96870967741933</v>
      </c>
      <c r="F141" s="128">
        <f t="shared" si="43"/>
        <v>391.9687096774193</v>
      </c>
      <c r="G141" s="128">
        <f t="shared" si="43"/>
        <v>391.9687096774193</v>
      </c>
      <c r="H141" s="128">
        <f t="shared" si="43"/>
        <v>391.9687096774193</v>
      </c>
      <c r="I141" s="128">
        <f t="shared" si="43"/>
        <v>391.9687096774193</v>
      </c>
    </row>
    <row r="142" spans="2:9" ht="12.75">
      <c r="B142" t="str">
        <f>B123</f>
        <v>Sweet Ch. Fresh (2011)</v>
      </c>
      <c r="C142" s="128">
        <f t="shared" si="40"/>
        <v>3928.7429032258055</v>
      </c>
      <c r="D142" s="128">
        <f t="shared" si="43"/>
        <v>1481.7041935483867</v>
      </c>
      <c r="E142" s="128">
        <f t="shared" si="43"/>
        <v>2042.37193548387</v>
      </c>
      <c r="F142" s="128">
        <f t="shared" si="43"/>
        <v>3006.888064516128</v>
      </c>
      <c r="G142" s="128">
        <f t="shared" si="43"/>
        <v>3006.888064516128</v>
      </c>
      <c r="H142" s="128">
        <f t="shared" si="43"/>
        <v>3006.888064516128</v>
      </c>
      <c r="I142" s="128">
        <f t="shared" si="43"/>
        <v>3006.888064516128</v>
      </c>
    </row>
  </sheetData>
  <sheetProtection sheet="1" objects="1" scenarios="1"/>
  <printOptions headings="1"/>
  <pageMargins left="0.43" right="0.26" top="0.43" bottom="0.37" header="0.25" footer="0.22"/>
  <pageSetup horizontalDpi="300" verticalDpi="300" orientation="portrait" scale="77" r:id="rId1"/>
  <headerFooter alignWithMargins="0">
    <oddHeader>&amp;C&amp;F</oddHeader>
    <oddFooter xml:space="preserve">&amp;CPenn State Farm Management  Extension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O10" sqref="O10"/>
    </sheetView>
  </sheetViews>
  <sheetFormatPr defaultColWidth="9.140625" defaultRowHeight="12.75"/>
  <cols>
    <col min="1" max="1" width="4.00390625" style="1" customWidth="1"/>
    <col min="2" max="2" width="19.57421875" style="0" customWidth="1"/>
    <col min="3" max="6" width="10.7109375" style="0" customWidth="1"/>
    <col min="7" max="7" width="9.7109375" style="0" customWidth="1"/>
    <col min="8" max="9" width="10.7109375" style="0" customWidth="1"/>
  </cols>
  <sheetData>
    <row r="1" ht="12.75">
      <c r="E1" s="2" t="s">
        <v>44</v>
      </c>
    </row>
    <row r="2" ht="12.75">
      <c r="E2" s="123" t="s">
        <v>283</v>
      </c>
    </row>
    <row r="4" spans="1:9" ht="12.75">
      <c r="A4" s="1" t="s">
        <v>245</v>
      </c>
      <c r="C4" s="2">
        <f>'Production Plan'!C5</f>
        <v>2011</v>
      </c>
      <c r="D4" s="2">
        <f>'Production Plan'!D5</f>
        <v>2012</v>
      </c>
      <c r="E4" s="2">
        <f>'Production Plan'!E5</f>
        <v>2013</v>
      </c>
      <c r="F4" s="2">
        <f>'Production Plan'!F5</f>
        <v>2014</v>
      </c>
      <c r="G4" s="2">
        <f>'Production Plan'!G5</f>
        <v>2015</v>
      </c>
      <c r="H4" s="2">
        <f>'Production Plan'!H5</f>
        <v>2016</v>
      </c>
      <c r="I4" s="2">
        <f>'Production Plan'!I5</f>
        <v>2017</v>
      </c>
    </row>
    <row r="5" spans="2:9" ht="12.75">
      <c r="B5" s="45" t="s">
        <v>45</v>
      </c>
      <c r="C5" s="141">
        <v>0</v>
      </c>
      <c r="D5" s="141">
        <v>0</v>
      </c>
      <c r="E5" s="141">
        <v>0</v>
      </c>
      <c r="F5" s="141">
        <v>0</v>
      </c>
      <c r="G5" s="141">
        <v>0</v>
      </c>
      <c r="H5" s="141">
        <v>0</v>
      </c>
      <c r="I5" s="141">
        <v>0</v>
      </c>
    </row>
    <row r="6" spans="2:9" ht="12.75">
      <c r="B6" s="45" t="s">
        <v>46</v>
      </c>
      <c r="C6" s="141">
        <v>0</v>
      </c>
      <c r="D6" s="141">
        <v>0</v>
      </c>
      <c r="E6" s="141">
        <v>0</v>
      </c>
      <c r="F6" s="141">
        <v>0</v>
      </c>
      <c r="G6" s="141">
        <v>0</v>
      </c>
      <c r="H6" s="141">
        <v>0</v>
      </c>
      <c r="I6" s="141">
        <v>0</v>
      </c>
    </row>
    <row r="7" spans="2:9" ht="12.75">
      <c r="B7" s="45" t="s">
        <v>77</v>
      </c>
      <c r="C7" s="141">
        <v>0</v>
      </c>
      <c r="D7" s="141">
        <v>0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</row>
    <row r="8" spans="2:9" ht="12.75">
      <c r="B8" s="142" t="s">
        <v>56</v>
      </c>
      <c r="C8" s="141"/>
      <c r="D8" s="141"/>
      <c r="E8" s="141"/>
      <c r="F8" s="141"/>
      <c r="G8" s="141"/>
      <c r="H8" s="141"/>
      <c r="I8" s="141"/>
    </row>
    <row r="9" spans="2:9" ht="12.75">
      <c r="B9" s="142" t="s">
        <v>311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</row>
    <row r="10" spans="2:9" ht="12.75">
      <c r="B10" s="142" t="s">
        <v>333</v>
      </c>
      <c r="C10" s="141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</row>
    <row r="11" spans="2:9" ht="12.75">
      <c r="B11" s="142" t="s">
        <v>334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</row>
    <row r="12" spans="2:9" ht="12.75">
      <c r="B12" s="7" t="s">
        <v>32</v>
      </c>
      <c r="C12" s="21">
        <f aca="true" t="shared" si="0" ref="C12:I12">SUM(C5:C11)</f>
        <v>0</v>
      </c>
      <c r="D12" s="21">
        <f t="shared" si="0"/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</row>
    <row r="14" spans="1:9" ht="12.75">
      <c r="A14" s="54" t="s">
        <v>246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</row>
    <row r="15" spans="2:9" ht="12.75">
      <c r="B15" s="45"/>
      <c r="C15" s="46"/>
      <c r="D15" s="46"/>
      <c r="E15" s="46"/>
      <c r="F15" s="46"/>
      <c r="G15" s="46"/>
      <c r="H15" s="46"/>
      <c r="I15" s="46"/>
    </row>
    <row r="16" spans="1:9" ht="12.75">
      <c r="A16" s="1" t="s">
        <v>57</v>
      </c>
      <c r="B16" s="45"/>
      <c r="C16" s="2">
        <f>C4</f>
        <v>2011</v>
      </c>
      <c r="D16" s="2">
        <f aca="true" t="shared" si="1" ref="D16:I16">D4</f>
        <v>2012</v>
      </c>
      <c r="E16" s="2">
        <f t="shared" si="1"/>
        <v>2013</v>
      </c>
      <c r="F16" s="2">
        <f t="shared" si="1"/>
        <v>2014</v>
      </c>
      <c r="G16" s="2">
        <f t="shared" si="1"/>
        <v>2015</v>
      </c>
      <c r="H16" s="2">
        <f t="shared" si="1"/>
        <v>2016</v>
      </c>
      <c r="I16" s="2">
        <f t="shared" si="1"/>
        <v>2017</v>
      </c>
    </row>
    <row r="17" ht="12.75">
      <c r="A17" s="1" t="s">
        <v>13</v>
      </c>
    </row>
    <row r="18" spans="2:9" ht="12.75">
      <c r="B18" s="26" t="s">
        <v>55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</row>
    <row r="19" spans="2:9" ht="12.75">
      <c r="B19" s="26" t="s">
        <v>54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</row>
    <row r="20" spans="2:9" ht="12.75">
      <c r="B20" s="26" t="s">
        <v>16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</row>
    <row r="21" spans="2:9" ht="12.75">
      <c r="B21" s="26" t="s">
        <v>47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</row>
    <row r="22" spans="2:9" ht="12.75">
      <c r="B22" s="26" t="s">
        <v>48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</row>
    <row r="23" spans="2:9" ht="12.75">
      <c r="B23" s="26" t="s">
        <v>21</v>
      </c>
      <c r="C23" s="141">
        <v>12500</v>
      </c>
      <c r="D23" s="141">
        <v>12500</v>
      </c>
      <c r="E23" s="141">
        <v>12500</v>
      </c>
      <c r="F23" s="141">
        <v>12500</v>
      </c>
      <c r="G23" s="141">
        <v>12500</v>
      </c>
      <c r="H23" s="141">
        <v>12500</v>
      </c>
      <c r="I23" s="141">
        <v>12500</v>
      </c>
    </row>
    <row r="24" spans="2:9" ht="12.75">
      <c r="B24" s="26" t="s">
        <v>23</v>
      </c>
      <c r="C24" s="141">
        <v>4200</v>
      </c>
      <c r="D24" s="141">
        <v>4200</v>
      </c>
      <c r="E24" s="141">
        <v>3400</v>
      </c>
      <c r="F24" s="141">
        <v>3400</v>
      </c>
      <c r="G24" s="141">
        <v>3400</v>
      </c>
      <c r="H24" s="141">
        <v>3400</v>
      </c>
      <c r="I24" s="141">
        <v>3400</v>
      </c>
    </row>
    <row r="25" spans="2:9" ht="12.75">
      <c r="B25" s="26" t="s">
        <v>25</v>
      </c>
      <c r="C25" s="141">
        <v>22000</v>
      </c>
      <c r="D25" s="141">
        <v>22000</v>
      </c>
      <c r="E25" s="141">
        <v>22000</v>
      </c>
      <c r="F25" s="141">
        <v>22000</v>
      </c>
      <c r="G25" s="141">
        <v>22000</v>
      </c>
      <c r="H25" s="141">
        <v>22000</v>
      </c>
      <c r="I25" s="141">
        <v>22000</v>
      </c>
    </row>
    <row r="26" spans="2:9" ht="12.75">
      <c r="B26" s="26" t="s">
        <v>49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</row>
    <row r="27" spans="2:9" ht="12.75">
      <c r="B27" s="26" t="s">
        <v>27</v>
      </c>
      <c r="C27" s="141">
        <v>14000</v>
      </c>
      <c r="D27" s="141">
        <v>14000</v>
      </c>
      <c r="E27" s="141">
        <v>12000</v>
      </c>
      <c r="F27" s="141">
        <v>12000</v>
      </c>
      <c r="G27" s="141">
        <v>12000</v>
      </c>
      <c r="H27" s="141">
        <v>12000</v>
      </c>
      <c r="I27" s="141">
        <v>12000</v>
      </c>
    </row>
    <row r="28" spans="2:9" ht="12.75">
      <c r="B28" s="134" t="s">
        <v>335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</row>
    <row r="29" spans="2:9" ht="12.75">
      <c r="B29" s="134" t="s">
        <v>336</v>
      </c>
      <c r="C29" s="141">
        <v>5000</v>
      </c>
      <c r="D29" s="141">
        <v>5000</v>
      </c>
      <c r="E29" s="141">
        <v>5000</v>
      </c>
      <c r="F29" s="141">
        <v>5000</v>
      </c>
      <c r="G29" s="141">
        <v>5000</v>
      </c>
      <c r="H29" s="141">
        <v>5000</v>
      </c>
      <c r="I29" s="141">
        <v>5000</v>
      </c>
    </row>
    <row r="30" spans="2:9" ht="12.75">
      <c r="B30" s="26" t="s">
        <v>30</v>
      </c>
      <c r="C30" s="141">
        <v>4000</v>
      </c>
      <c r="D30" s="141">
        <v>4000</v>
      </c>
      <c r="E30" s="141">
        <v>4000</v>
      </c>
      <c r="F30" s="141">
        <v>4000</v>
      </c>
      <c r="G30" s="141">
        <v>4000</v>
      </c>
      <c r="H30" s="141">
        <v>4000</v>
      </c>
      <c r="I30" s="141">
        <v>4000</v>
      </c>
    </row>
    <row r="31" spans="2:9" ht="12.75">
      <c r="B31" s="7" t="s">
        <v>32</v>
      </c>
      <c r="C31" s="21">
        <f>SUM(C18:C30)</f>
        <v>61700</v>
      </c>
      <c r="D31" s="21">
        <f aca="true" t="shared" si="2" ref="D31:I31">SUM(D18:D30)</f>
        <v>61700</v>
      </c>
      <c r="E31" s="21">
        <f t="shared" si="2"/>
        <v>58900</v>
      </c>
      <c r="F31" s="21">
        <f t="shared" si="2"/>
        <v>58900</v>
      </c>
      <c r="G31" s="21">
        <f t="shared" si="2"/>
        <v>58900</v>
      </c>
      <c r="H31" s="21">
        <f t="shared" si="2"/>
        <v>58900</v>
      </c>
      <c r="I31" s="21">
        <f t="shared" si="2"/>
        <v>58900</v>
      </c>
    </row>
    <row r="33" spans="3:4" ht="12.75">
      <c r="C33" s="47" t="s">
        <v>8</v>
      </c>
      <c r="D33" s="122" t="s">
        <v>284</v>
      </c>
    </row>
    <row r="34" spans="1:9" ht="12.75">
      <c r="A34" s="51"/>
      <c r="B34" s="7" t="s">
        <v>292</v>
      </c>
      <c r="C34" s="141">
        <v>54600</v>
      </c>
      <c r="D34" s="141">
        <v>54600</v>
      </c>
      <c r="E34" s="141">
        <v>54600</v>
      </c>
      <c r="F34" s="141">
        <v>54600</v>
      </c>
      <c r="G34" s="141">
        <v>54600</v>
      </c>
      <c r="H34" s="141">
        <v>54600</v>
      </c>
      <c r="I34" s="141">
        <v>54600</v>
      </c>
    </row>
    <row r="35" ht="12.75">
      <c r="A35"/>
    </row>
    <row r="37" ht="12.75">
      <c r="B37" t="s">
        <v>426</v>
      </c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</sheetData>
  <sheetProtection sheet="1" objects="1" scenarios="1"/>
  <printOptions headings="1"/>
  <pageMargins left="0.42" right="0.3" top="1" bottom="1" header="0.5" footer="0.5"/>
  <pageSetup horizontalDpi="300" verticalDpi="300" orientation="portrait" r:id="rId1"/>
  <headerFooter alignWithMargins="0">
    <oddHeader>&amp;C&amp;F</oddHeader>
    <oddFooter>&amp;CPenn State Farm Management Extension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1"/>
  <sheetViews>
    <sheetView showGridLines="0" zoomScalePageLayoutView="0" workbookViewId="0" topLeftCell="A34">
      <selection activeCell="E42" sqref="E42"/>
    </sheetView>
  </sheetViews>
  <sheetFormatPr defaultColWidth="9.140625" defaultRowHeight="12.75"/>
  <cols>
    <col min="1" max="1" width="2.140625" style="1" customWidth="1"/>
    <col min="2" max="2" width="19.28125" style="0" customWidth="1"/>
    <col min="3" max="3" width="9.57421875" style="0" customWidth="1"/>
    <col min="4" max="4" width="9.00390625" style="0" customWidth="1"/>
    <col min="5" max="5" width="9.421875" style="0" customWidth="1"/>
    <col min="7" max="7" width="9.28125" style="0" customWidth="1"/>
    <col min="9" max="9" width="9.8515625" style="0" bestFit="1" customWidth="1"/>
    <col min="10" max="10" width="1.1484375" style="0" customWidth="1"/>
    <col min="11" max="11" width="7.8515625" style="0" customWidth="1"/>
    <col min="12" max="12" width="5.28125" style="0" customWidth="1"/>
    <col min="13" max="13" width="7.421875" style="0" customWidth="1"/>
    <col min="14" max="15" width="7.28125" style="0" customWidth="1"/>
    <col min="16" max="16" width="8.57421875" style="0" customWidth="1"/>
    <col min="17" max="19" width="7.28125" style="0" customWidth="1"/>
    <col min="20" max="20" width="3.00390625" style="0" customWidth="1"/>
  </cols>
  <sheetData>
    <row r="1" spans="5:15" ht="12.75">
      <c r="E1" s="2" t="s">
        <v>58</v>
      </c>
      <c r="O1" s="2" t="s">
        <v>52</v>
      </c>
    </row>
    <row r="2" ht="12.75">
      <c r="E2" s="2"/>
    </row>
    <row r="3" spans="1:19" ht="12.75">
      <c r="A3" s="76" t="s">
        <v>197</v>
      </c>
      <c r="B3" s="5"/>
      <c r="C3" s="5"/>
      <c r="D3" s="5"/>
      <c r="E3" s="5"/>
      <c r="F3" s="5"/>
      <c r="G3" s="5"/>
      <c r="H3" s="5"/>
      <c r="I3" s="6"/>
      <c r="K3" s="125"/>
      <c r="L3" s="5"/>
      <c r="M3" s="5"/>
      <c r="N3" s="5"/>
      <c r="O3" s="15" t="s">
        <v>282</v>
      </c>
      <c r="P3" s="5"/>
      <c r="Q3" s="5"/>
      <c r="R3" s="5"/>
      <c r="S3" s="6"/>
    </row>
    <row r="4" spans="1:19" ht="12.75">
      <c r="A4" s="71"/>
      <c r="B4" s="18"/>
      <c r="C4" s="18"/>
      <c r="D4" s="18"/>
      <c r="E4" s="12"/>
      <c r="F4" s="18"/>
      <c r="G4" s="18"/>
      <c r="H4" s="18"/>
      <c r="I4" s="38"/>
      <c r="K4" s="50"/>
      <c r="L4" s="18"/>
      <c r="M4" s="12">
        <f>C5</f>
        <v>2011</v>
      </c>
      <c r="N4" s="12">
        <f aca="true" t="shared" si="0" ref="N4:S4">D5</f>
        <v>2012</v>
      </c>
      <c r="O4" s="12">
        <f t="shared" si="0"/>
        <v>2013</v>
      </c>
      <c r="P4" s="12">
        <f t="shared" si="0"/>
        <v>2014</v>
      </c>
      <c r="Q4" s="12">
        <f t="shared" si="0"/>
        <v>2015</v>
      </c>
      <c r="R4" s="12">
        <f t="shared" si="0"/>
        <v>2016</v>
      </c>
      <c r="S4" s="12">
        <f t="shared" si="0"/>
        <v>2017</v>
      </c>
    </row>
    <row r="5" spans="1:19" ht="12.75">
      <c r="A5" s="71" t="s">
        <v>172</v>
      </c>
      <c r="B5" s="78"/>
      <c r="C5" s="12">
        <f>'Production Plan'!C5</f>
        <v>2011</v>
      </c>
      <c r="D5" s="12">
        <f>'Production Plan'!D5</f>
        <v>2012</v>
      </c>
      <c r="E5" s="12">
        <f>'Production Plan'!E5</f>
        <v>2013</v>
      </c>
      <c r="F5" s="12">
        <f>'Production Plan'!F5</f>
        <v>2014</v>
      </c>
      <c r="G5" s="12">
        <f>'Production Plan'!G5</f>
        <v>2015</v>
      </c>
      <c r="H5" s="12">
        <f>'Production Plan'!H5</f>
        <v>2016</v>
      </c>
      <c r="I5" s="101">
        <f>'Production Plan'!I5</f>
        <v>2017</v>
      </c>
      <c r="K5" s="24" t="s">
        <v>203</v>
      </c>
      <c r="L5" s="5"/>
      <c r="M5" s="5"/>
      <c r="N5" s="5"/>
      <c r="O5" s="5"/>
      <c r="P5" s="5"/>
      <c r="Q5" s="5"/>
      <c r="R5" s="5"/>
      <c r="S5" s="6"/>
    </row>
    <row r="6" spans="1:19" ht="12.75">
      <c r="A6" s="71"/>
      <c r="B6" s="18"/>
      <c r="C6" s="18"/>
      <c r="D6" s="18"/>
      <c r="E6" s="18"/>
      <c r="F6" s="18"/>
      <c r="G6" s="18"/>
      <c r="H6" s="18"/>
      <c r="I6" s="38"/>
      <c r="K6" s="50" t="s">
        <v>204</v>
      </c>
      <c r="L6" s="18"/>
      <c r="M6" s="167">
        <f>SUM(C8:C12)</f>
        <v>51650</v>
      </c>
      <c r="N6" s="167">
        <f aca="true" t="shared" si="1" ref="N6:S6">SUM(D8:D12)</f>
        <v>51650</v>
      </c>
      <c r="O6" s="167">
        <f t="shared" si="1"/>
        <v>51650</v>
      </c>
      <c r="P6" s="167">
        <f t="shared" si="1"/>
        <v>24278</v>
      </c>
      <c r="Q6" s="167">
        <f t="shared" si="1"/>
        <v>24278</v>
      </c>
      <c r="R6" s="167">
        <f t="shared" si="1"/>
        <v>20078</v>
      </c>
      <c r="S6" s="168">
        <f t="shared" si="1"/>
        <v>20078</v>
      </c>
    </row>
    <row r="7" spans="1:19" ht="12.75">
      <c r="A7" s="71"/>
      <c r="B7" s="78" t="s">
        <v>61</v>
      </c>
      <c r="C7" s="18"/>
      <c r="D7" s="18"/>
      <c r="E7" s="18"/>
      <c r="F7" s="18"/>
      <c r="G7" s="18"/>
      <c r="H7" s="18"/>
      <c r="I7" s="38"/>
      <c r="K7" s="50"/>
      <c r="L7" s="18"/>
      <c r="M7" s="169"/>
      <c r="N7" s="169"/>
      <c r="O7" s="169"/>
      <c r="P7" s="169"/>
      <c r="Q7" s="169"/>
      <c r="R7" s="169"/>
      <c r="S7" s="170"/>
    </row>
    <row r="8" spans="1:19" ht="12.75">
      <c r="A8" s="71"/>
      <c r="B8" s="142" t="s">
        <v>36</v>
      </c>
      <c r="C8" s="141">
        <v>27372</v>
      </c>
      <c r="D8" s="141">
        <v>27372</v>
      </c>
      <c r="E8" s="141">
        <v>27372</v>
      </c>
      <c r="F8" s="141"/>
      <c r="G8" s="141"/>
      <c r="H8" s="141"/>
      <c r="I8" s="143"/>
      <c r="K8" s="50" t="s">
        <v>205</v>
      </c>
      <c r="L8" s="18"/>
      <c r="M8" s="167">
        <f>SUM(C14:C17)</f>
        <v>24000</v>
      </c>
      <c r="N8" s="167">
        <f aca="true" t="shared" si="2" ref="N8:S8">SUM(D14:D17)</f>
        <v>24000</v>
      </c>
      <c r="O8" s="167">
        <f t="shared" si="2"/>
        <v>24000</v>
      </c>
      <c r="P8" s="167">
        <f t="shared" si="2"/>
        <v>24000</v>
      </c>
      <c r="Q8" s="167">
        <f t="shared" si="2"/>
        <v>24000</v>
      </c>
      <c r="R8" s="167">
        <f t="shared" si="2"/>
        <v>24000</v>
      </c>
      <c r="S8" s="168">
        <f t="shared" si="2"/>
        <v>24000</v>
      </c>
    </row>
    <row r="9" spans="1:19" ht="12.75">
      <c r="A9" s="71"/>
      <c r="B9" s="142" t="s">
        <v>339</v>
      </c>
      <c r="C9" s="141">
        <v>20078</v>
      </c>
      <c r="D9" s="141">
        <f aca="true" t="shared" si="3" ref="D9:I9">C9</f>
        <v>20078</v>
      </c>
      <c r="E9" s="141">
        <f t="shared" si="3"/>
        <v>20078</v>
      </c>
      <c r="F9" s="141">
        <f t="shared" si="3"/>
        <v>20078</v>
      </c>
      <c r="G9" s="141">
        <f t="shared" si="3"/>
        <v>20078</v>
      </c>
      <c r="H9" s="141">
        <f t="shared" si="3"/>
        <v>20078</v>
      </c>
      <c r="I9" s="141">
        <f t="shared" si="3"/>
        <v>20078</v>
      </c>
      <c r="K9" s="50"/>
      <c r="L9" s="18"/>
      <c r="M9" s="169"/>
      <c r="N9" s="169"/>
      <c r="O9" s="169"/>
      <c r="P9" s="169"/>
      <c r="Q9" s="169"/>
      <c r="R9" s="169"/>
      <c r="S9" s="170"/>
    </row>
    <row r="10" spans="1:19" ht="12.75">
      <c r="A10" s="71"/>
      <c r="B10" s="142" t="s">
        <v>50</v>
      </c>
      <c r="C10" s="141"/>
      <c r="D10" s="141"/>
      <c r="E10" s="141"/>
      <c r="F10" s="141"/>
      <c r="G10" s="141"/>
      <c r="H10" s="141"/>
      <c r="I10" s="141"/>
      <c r="K10" s="99" t="s">
        <v>206</v>
      </c>
      <c r="L10" s="42"/>
      <c r="M10" s="171">
        <f>M6+M8</f>
        <v>75650</v>
      </c>
      <c r="N10" s="171">
        <f aca="true" t="shared" si="4" ref="N10:S10">N6+N8</f>
        <v>75650</v>
      </c>
      <c r="O10" s="171">
        <f t="shared" si="4"/>
        <v>75650</v>
      </c>
      <c r="P10" s="171">
        <f t="shared" si="4"/>
        <v>48278</v>
      </c>
      <c r="Q10" s="171">
        <f t="shared" si="4"/>
        <v>48278</v>
      </c>
      <c r="R10" s="171">
        <f t="shared" si="4"/>
        <v>44078</v>
      </c>
      <c r="S10" s="172">
        <f t="shared" si="4"/>
        <v>44078</v>
      </c>
    </row>
    <row r="11" spans="1:19" ht="12.75">
      <c r="A11" s="71"/>
      <c r="B11" s="141" t="s">
        <v>337</v>
      </c>
      <c r="C11" s="141">
        <v>2200</v>
      </c>
      <c r="D11" s="141">
        <v>2200</v>
      </c>
      <c r="E11" s="141">
        <v>2200</v>
      </c>
      <c r="F11" s="141">
        <v>2200</v>
      </c>
      <c r="G11" s="141">
        <v>2200</v>
      </c>
      <c r="H11" s="141"/>
      <c r="I11" s="143"/>
      <c r="K11" s="50"/>
      <c r="L11" s="18"/>
      <c r="M11" s="169"/>
      <c r="N11" s="169"/>
      <c r="O11" s="169"/>
      <c r="P11" s="169"/>
      <c r="Q11" s="169"/>
      <c r="R11" s="169"/>
      <c r="S11" s="170"/>
    </row>
    <row r="12" spans="1:19" ht="12.75">
      <c r="A12" s="71"/>
      <c r="B12" s="141" t="s">
        <v>338</v>
      </c>
      <c r="C12" s="141">
        <v>2000</v>
      </c>
      <c r="D12" s="141">
        <v>2000</v>
      </c>
      <c r="E12" s="141">
        <v>2000</v>
      </c>
      <c r="F12" s="141">
        <v>2000</v>
      </c>
      <c r="G12" s="141">
        <v>2000</v>
      </c>
      <c r="H12" s="141"/>
      <c r="I12" s="143"/>
      <c r="K12" s="24" t="s">
        <v>108</v>
      </c>
      <c r="L12" s="5"/>
      <c r="M12" s="173"/>
      <c r="N12" s="173"/>
      <c r="O12" s="173"/>
      <c r="P12" s="173"/>
      <c r="Q12" s="173"/>
      <c r="R12" s="173"/>
      <c r="S12" s="174"/>
    </row>
    <row r="13" spans="1:19" ht="12.75">
      <c r="A13" s="71"/>
      <c r="B13" s="78" t="s">
        <v>176</v>
      </c>
      <c r="C13" s="18"/>
      <c r="D13" s="18"/>
      <c r="E13" s="18"/>
      <c r="F13" s="18"/>
      <c r="G13" s="18"/>
      <c r="H13" s="18"/>
      <c r="I13" s="38"/>
      <c r="K13" s="185" t="s">
        <v>204</v>
      </c>
      <c r="L13" s="18"/>
      <c r="M13" s="167">
        <f>C26</f>
        <v>0</v>
      </c>
      <c r="N13" s="167">
        <f aca="true" t="shared" si="5" ref="N13:S13">D26</f>
        <v>0</v>
      </c>
      <c r="O13" s="167">
        <f t="shared" si="5"/>
        <v>0</v>
      </c>
      <c r="P13" s="167">
        <f t="shared" si="5"/>
        <v>0</v>
      </c>
      <c r="Q13" s="167">
        <f t="shared" si="5"/>
        <v>0</v>
      </c>
      <c r="R13" s="167">
        <f t="shared" si="5"/>
        <v>0</v>
      </c>
      <c r="S13" s="167">
        <f t="shared" si="5"/>
        <v>0</v>
      </c>
    </row>
    <row r="14" spans="1:19" ht="12.75">
      <c r="A14" s="71"/>
      <c r="B14" s="142" t="s">
        <v>339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K14" s="25" t="s">
        <v>205</v>
      </c>
      <c r="L14" s="18"/>
      <c r="M14" s="167">
        <f>C32</f>
        <v>256</v>
      </c>
      <c r="N14" s="167">
        <f aca="true" t="shared" si="6" ref="N14:S14">D32</f>
        <v>110</v>
      </c>
      <c r="O14" s="167">
        <f t="shared" si="6"/>
        <v>0</v>
      </c>
      <c r="P14" s="167">
        <f t="shared" si="6"/>
        <v>0</v>
      </c>
      <c r="Q14" s="167">
        <f t="shared" si="6"/>
        <v>0</v>
      </c>
      <c r="R14" s="167">
        <f t="shared" si="6"/>
        <v>0</v>
      </c>
      <c r="S14" s="167">
        <f t="shared" si="6"/>
        <v>0</v>
      </c>
    </row>
    <row r="15" spans="1:19" ht="12.75">
      <c r="A15" s="71"/>
      <c r="B15" s="142" t="s">
        <v>340</v>
      </c>
      <c r="C15" s="141">
        <v>24000</v>
      </c>
      <c r="D15" s="141">
        <f aca="true" t="shared" si="7" ref="D15:I15">C15</f>
        <v>24000</v>
      </c>
      <c r="E15" s="141">
        <f t="shared" si="7"/>
        <v>24000</v>
      </c>
      <c r="F15" s="141">
        <f t="shared" si="7"/>
        <v>24000</v>
      </c>
      <c r="G15" s="141">
        <f t="shared" si="7"/>
        <v>24000</v>
      </c>
      <c r="H15" s="141">
        <f t="shared" si="7"/>
        <v>24000</v>
      </c>
      <c r="I15" s="141">
        <f t="shared" si="7"/>
        <v>24000</v>
      </c>
      <c r="K15" s="77" t="s">
        <v>208</v>
      </c>
      <c r="L15" s="42"/>
      <c r="M15" s="171">
        <f>M14+M13</f>
        <v>256</v>
      </c>
      <c r="N15" s="171">
        <f aca="true" t="shared" si="8" ref="N15:S15">N14+N13</f>
        <v>110</v>
      </c>
      <c r="O15" s="171">
        <f t="shared" si="8"/>
        <v>0</v>
      </c>
      <c r="P15" s="171">
        <f t="shared" si="8"/>
        <v>0</v>
      </c>
      <c r="Q15" s="171">
        <f t="shared" si="8"/>
        <v>0</v>
      </c>
      <c r="R15" s="171">
        <f t="shared" si="8"/>
        <v>0</v>
      </c>
      <c r="S15" s="172">
        <f t="shared" si="8"/>
        <v>0</v>
      </c>
    </row>
    <row r="16" spans="1:19" ht="12.75">
      <c r="A16" s="71"/>
      <c r="B16" s="141"/>
      <c r="C16" s="141"/>
      <c r="D16" s="141"/>
      <c r="E16" s="141"/>
      <c r="F16" s="141"/>
      <c r="G16" s="141"/>
      <c r="H16" s="141"/>
      <c r="I16" s="143"/>
      <c r="K16" s="125"/>
      <c r="L16" s="5"/>
      <c r="M16" s="173"/>
      <c r="N16" s="173"/>
      <c r="O16" s="173"/>
      <c r="P16" s="173"/>
      <c r="Q16" s="173"/>
      <c r="R16" s="173"/>
      <c r="S16" s="174"/>
    </row>
    <row r="17" spans="1:19" ht="12.75">
      <c r="A17" s="71"/>
      <c r="B17" s="141"/>
      <c r="C17" s="141"/>
      <c r="D17" s="141"/>
      <c r="E17" s="141"/>
      <c r="F17" s="141"/>
      <c r="G17" s="141"/>
      <c r="H17" s="141"/>
      <c r="I17" s="143"/>
      <c r="K17" s="50"/>
      <c r="L17" s="18"/>
      <c r="M17" s="169"/>
      <c r="N17" s="169"/>
      <c r="O17" s="169"/>
      <c r="P17" s="169"/>
      <c r="Q17" s="169"/>
      <c r="R17" s="169"/>
      <c r="S17" s="170"/>
    </row>
    <row r="18" spans="1:19" ht="12.75">
      <c r="A18" s="102"/>
      <c r="B18" s="103" t="s">
        <v>62</v>
      </c>
      <c r="C18" s="190">
        <f aca="true" t="shared" si="9" ref="C18:I18">SUM(C7:C17)</f>
        <v>75650</v>
      </c>
      <c r="D18" s="190">
        <f t="shared" si="9"/>
        <v>75650</v>
      </c>
      <c r="E18" s="190">
        <f t="shared" si="9"/>
        <v>75650</v>
      </c>
      <c r="F18" s="190">
        <f t="shared" si="9"/>
        <v>48278</v>
      </c>
      <c r="G18" s="190">
        <f t="shared" si="9"/>
        <v>48278</v>
      </c>
      <c r="H18" s="190">
        <f t="shared" si="9"/>
        <v>44078</v>
      </c>
      <c r="I18" s="190">
        <f t="shared" si="9"/>
        <v>44078</v>
      </c>
      <c r="K18" s="71" t="s">
        <v>209</v>
      </c>
      <c r="L18" s="18"/>
      <c r="M18" s="169"/>
      <c r="N18" s="169"/>
      <c r="O18" s="169"/>
      <c r="P18" s="169"/>
      <c r="Q18" s="169"/>
      <c r="R18" s="169"/>
      <c r="S18" s="170"/>
    </row>
    <row r="19" spans="5:19" ht="12.75">
      <c r="E19" s="2"/>
      <c r="L19" s="25" t="s">
        <v>210</v>
      </c>
      <c r="M19" s="175"/>
      <c r="N19" s="176">
        <f aca="true" t="shared" si="10" ref="N19:S19">D58+D69+D80+D91</f>
        <v>0</v>
      </c>
      <c r="O19" s="176">
        <f t="shared" si="10"/>
        <v>0</v>
      </c>
      <c r="P19" s="176">
        <f t="shared" si="10"/>
        <v>0</v>
      </c>
      <c r="Q19" s="176">
        <f t="shared" si="10"/>
        <v>0</v>
      </c>
      <c r="R19" s="176">
        <f t="shared" si="10"/>
        <v>0</v>
      </c>
      <c r="S19" s="177">
        <f t="shared" si="10"/>
        <v>0</v>
      </c>
    </row>
    <row r="20" spans="1:19" ht="12.75">
      <c r="A20" s="24" t="s">
        <v>108</v>
      </c>
      <c r="B20" s="5"/>
      <c r="C20" s="15">
        <f>C5</f>
        <v>2011</v>
      </c>
      <c r="D20" s="15">
        <f aca="true" t="shared" si="11" ref="D20:I20">D5</f>
        <v>2012</v>
      </c>
      <c r="E20" s="15">
        <f t="shared" si="11"/>
        <v>2013</v>
      </c>
      <c r="F20" s="15">
        <f t="shared" si="11"/>
        <v>2014</v>
      </c>
      <c r="G20" s="15">
        <f t="shared" si="11"/>
        <v>2015</v>
      </c>
      <c r="H20" s="15">
        <f t="shared" si="11"/>
        <v>2016</v>
      </c>
      <c r="I20" s="16">
        <f t="shared" si="11"/>
        <v>2017</v>
      </c>
      <c r="K20" s="50"/>
      <c r="L20" s="18"/>
      <c r="M20" s="169"/>
      <c r="N20" s="169"/>
      <c r="O20" s="169"/>
      <c r="P20" s="169"/>
      <c r="Q20" s="169"/>
      <c r="R20" s="169"/>
      <c r="S20" s="170"/>
    </row>
    <row r="21" spans="1:19" ht="12.75">
      <c r="A21" s="71"/>
      <c r="B21" s="18"/>
      <c r="C21" s="12"/>
      <c r="D21" s="12"/>
      <c r="E21" s="12"/>
      <c r="F21" s="12"/>
      <c r="G21" s="12"/>
      <c r="H21" s="12"/>
      <c r="I21" s="101"/>
      <c r="K21" s="50"/>
      <c r="L21" s="18"/>
      <c r="M21" s="169"/>
      <c r="N21" s="169"/>
      <c r="O21" s="169"/>
      <c r="P21" s="169"/>
      <c r="Q21" s="169"/>
      <c r="R21" s="169"/>
      <c r="S21" s="170"/>
    </row>
    <row r="22" spans="1:19" ht="12.75">
      <c r="A22" s="71" t="s">
        <v>59</v>
      </c>
      <c r="B22" s="18"/>
      <c r="C22" s="193" t="s">
        <v>352</v>
      </c>
      <c r="D22" s="18"/>
      <c r="E22" s="18"/>
      <c r="F22" s="18"/>
      <c r="G22" s="18"/>
      <c r="H22" s="18"/>
      <c r="I22" s="38"/>
      <c r="K22" s="99"/>
      <c r="L22" s="42"/>
      <c r="M22" s="178"/>
      <c r="N22" s="178"/>
      <c r="O22" s="178"/>
      <c r="P22" s="178"/>
      <c r="Q22" s="178"/>
      <c r="R22" s="178"/>
      <c r="S22" s="179"/>
    </row>
    <row r="23" spans="1:19" ht="12.75">
      <c r="A23" s="71"/>
      <c r="B23" s="141" t="s">
        <v>173</v>
      </c>
      <c r="C23" s="192"/>
      <c r="D23" s="192"/>
      <c r="E23" s="192"/>
      <c r="F23" s="192"/>
      <c r="G23" s="192"/>
      <c r="H23" s="192"/>
      <c r="I23" s="192"/>
      <c r="K23" s="24" t="s">
        <v>207</v>
      </c>
      <c r="L23" s="5"/>
      <c r="M23" s="173"/>
      <c r="N23" s="173"/>
      <c r="O23" s="173"/>
      <c r="P23" s="173"/>
      <c r="Q23" s="173"/>
      <c r="R23" s="173"/>
      <c r="S23" s="174"/>
    </row>
    <row r="24" spans="1:19" ht="12.75">
      <c r="A24" s="71"/>
      <c r="B24" s="141"/>
      <c r="C24" s="192"/>
      <c r="D24" s="192"/>
      <c r="E24" s="192"/>
      <c r="F24" s="192"/>
      <c r="G24" s="192"/>
      <c r="H24" s="192"/>
      <c r="I24" s="192"/>
      <c r="K24" s="185" t="s">
        <v>204</v>
      </c>
      <c r="L24" s="18"/>
      <c r="M24" s="167"/>
      <c r="N24" s="167">
        <f aca="true" t="shared" si="12" ref="N24:S24">N57+N68</f>
        <v>1855.9489468250797</v>
      </c>
      <c r="O24" s="167">
        <f t="shared" si="12"/>
        <v>2783.9234202376197</v>
      </c>
      <c r="P24" s="167">
        <f t="shared" si="12"/>
        <v>2783.9234202376197</v>
      </c>
      <c r="Q24" s="167">
        <f t="shared" si="12"/>
        <v>2783.9234202376197</v>
      </c>
      <c r="R24" s="167">
        <f t="shared" si="12"/>
        <v>2783.9234202376197</v>
      </c>
      <c r="S24" s="168">
        <f t="shared" si="12"/>
        <v>927.9744734125399</v>
      </c>
    </row>
    <row r="25" spans="1:19" ht="12.75">
      <c r="A25" s="164" t="s">
        <v>348</v>
      </c>
      <c r="K25" s="100" t="s">
        <v>205</v>
      </c>
      <c r="L25" s="18"/>
      <c r="M25" s="167"/>
      <c r="N25" s="167">
        <f aca="true" t="shared" si="13" ref="N25:S25">N79+N90</f>
        <v>0</v>
      </c>
      <c r="O25" s="167">
        <f t="shared" si="13"/>
        <v>0</v>
      </c>
      <c r="P25" s="167">
        <f t="shared" si="13"/>
        <v>0</v>
      </c>
      <c r="Q25" s="167">
        <f t="shared" si="13"/>
        <v>0</v>
      </c>
      <c r="R25" s="167">
        <f t="shared" si="13"/>
        <v>0</v>
      </c>
      <c r="S25" s="168">
        <f t="shared" si="13"/>
        <v>0</v>
      </c>
    </row>
    <row r="26" spans="2:19" ht="12.75">
      <c r="B26" s="164" t="s">
        <v>342</v>
      </c>
      <c r="C26" s="192"/>
      <c r="D26" s="192"/>
      <c r="E26" s="192"/>
      <c r="F26" s="192"/>
      <c r="G26" s="192"/>
      <c r="H26" s="192"/>
      <c r="I26" s="192"/>
      <c r="K26" s="28" t="s">
        <v>32</v>
      </c>
      <c r="L26" s="42"/>
      <c r="M26" s="171">
        <f>M25+M24</f>
        <v>0</v>
      </c>
      <c r="N26" s="171">
        <f aca="true" t="shared" si="14" ref="N26:S26">N25+N24</f>
        <v>1855.9489468250797</v>
      </c>
      <c r="O26" s="171">
        <f t="shared" si="14"/>
        <v>2783.9234202376197</v>
      </c>
      <c r="P26" s="171">
        <f t="shared" si="14"/>
        <v>2783.9234202376197</v>
      </c>
      <c r="Q26" s="171">
        <f t="shared" si="14"/>
        <v>2783.9234202376197</v>
      </c>
      <c r="R26" s="171">
        <f t="shared" si="14"/>
        <v>2783.9234202376197</v>
      </c>
      <c r="S26" s="172">
        <f t="shared" si="14"/>
        <v>927.9744734125399</v>
      </c>
    </row>
    <row r="27" spans="1:19" ht="12.75">
      <c r="A27" s="71" t="s">
        <v>60</v>
      </c>
      <c r="C27" s="193" t="s">
        <v>353</v>
      </c>
      <c r="K27" s="50"/>
      <c r="L27" s="18"/>
      <c r="M27" s="169"/>
      <c r="N27" s="169"/>
      <c r="O27" s="169"/>
      <c r="P27" s="169"/>
      <c r="Q27" s="169"/>
      <c r="R27" s="169"/>
      <c r="S27" s="170"/>
    </row>
    <row r="28" spans="2:19" ht="12.75">
      <c r="B28" s="18" t="s">
        <v>344</v>
      </c>
      <c r="C28" s="191" t="s">
        <v>343</v>
      </c>
      <c r="D28" s="191" t="s">
        <v>345</v>
      </c>
      <c r="E28" s="191"/>
      <c r="F28" s="191"/>
      <c r="G28" s="191"/>
      <c r="H28" s="191"/>
      <c r="I28" s="191"/>
      <c r="K28" s="50"/>
      <c r="L28" s="18"/>
      <c r="M28" s="169"/>
      <c r="N28" s="169"/>
      <c r="O28" s="169"/>
      <c r="P28" s="169"/>
      <c r="Q28" s="169"/>
      <c r="R28" s="169"/>
      <c r="S28" s="170"/>
    </row>
    <row r="29" spans="1:19" ht="12.75">
      <c r="A29" s="102"/>
      <c r="B29" s="144" t="s">
        <v>346</v>
      </c>
      <c r="C29" s="144"/>
      <c r="D29" s="192">
        <v>310000</v>
      </c>
      <c r="E29" s="144"/>
      <c r="F29" s="144"/>
      <c r="G29" s="144"/>
      <c r="H29" s="144"/>
      <c r="I29" s="145"/>
      <c r="K29" s="99" t="s">
        <v>211</v>
      </c>
      <c r="L29" s="42"/>
      <c r="M29" s="171">
        <f>M10-M15+M19+M26</f>
        <v>75394</v>
      </c>
      <c r="N29" s="171">
        <f aca="true" t="shared" si="15" ref="N29:S29">N10-N15+N19+N26</f>
        <v>77395.94894682508</v>
      </c>
      <c r="O29" s="171">
        <f>O10+O19+O26</f>
        <v>78433.92342023762</v>
      </c>
      <c r="P29" s="171">
        <f>P10+P26</f>
        <v>51061.92342023762</v>
      </c>
      <c r="Q29" s="171">
        <f t="shared" si="15"/>
        <v>51061.92342023762</v>
      </c>
      <c r="R29" s="171">
        <f t="shared" si="15"/>
        <v>46861.92342023762</v>
      </c>
      <c r="S29" s="172">
        <f t="shared" si="15"/>
        <v>45005.97447341254</v>
      </c>
    </row>
    <row r="30" spans="1:9" ht="12.75">
      <c r="A30" s="102"/>
      <c r="B30" s="146" t="s">
        <v>347</v>
      </c>
      <c r="C30" s="192">
        <v>145000</v>
      </c>
      <c r="D30" s="192"/>
      <c r="E30" s="192"/>
      <c r="F30" s="192"/>
      <c r="G30" s="192"/>
      <c r="H30" s="192"/>
      <c r="I30" s="192"/>
    </row>
    <row r="31" ht="12.75">
      <c r="A31" s="164" t="s">
        <v>341</v>
      </c>
    </row>
    <row r="32" spans="2:9" ht="12.75">
      <c r="B32" s="164" t="s">
        <v>342</v>
      </c>
      <c r="C32" s="192">
        <v>256</v>
      </c>
      <c r="D32" s="192">
        <v>110</v>
      </c>
      <c r="E32" s="192"/>
      <c r="F32" s="192"/>
      <c r="G32" s="192"/>
      <c r="H32" s="192"/>
      <c r="I32" s="192"/>
    </row>
    <row r="33" spans="2:9" ht="12.75"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24" t="s">
        <v>198</v>
      </c>
      <c r="B34" s="5"/>
      <c r="C34" s="5"/>
      <c r="D34" s="5"/>
      <c r="E34" s="5"/>
      <c r="F34" s="5"/>
      <c r="G34" s="5"/>
      <c r="H34" s="5"/>
      <c r="I34" s="6"/>
    </row>
    <row r="35" spans="1:9" ht="12.75">
      <c r="A35" s="71" t="s">
        <v>59</v>
      </c>
      <c r="B35" s="18"/>
      <c r="C35" s="15">
        <f>C20</f>
        <v>2011</v>
      </c>
      <c r="D35" s="15">
        <f aca="true" t="shared" si="16" ref="D35:I35">D20</f>
        <v>2012</v>
      </c>
      <c r="E35" s="15">
        <f t="shared" si="16"/>
        <v>2013</v>
      </c>
      <c r="F35" s="15">
        <f t="shared" si="16"/>
        <v>2014</v>
      </c>
      <c r="G35" s="15">
        <f t="shared" si="16"/>
        <v>2015</v>
      </c>
      <c r="H35" s="15">
        <f t="shared" si="16"/>
        <v>2016</v>
      </c>
      <c r="I35" s="109">
        <f t="shared" si="16"/>
        <v>2017</v>
      </c>
    </row>
    <row r="36" spans="1:9" ht="12.75">
      <c r="A36" s="71">
        <v>1</v>
      </c>
      <c r="B36" s="147" t="s">
        <v>175</v>
      </c>
      <c r="C36" s="111" t="s">
        <v>217</v>
      </c>
      <c r="D36" s="148" t="s">
        <v>312</v>
      </c>
      <c r="E36" s="141"/>
      <c r="F36" s="141"/>
      <c r="G36" s="141"/>
      <c r="H36" s="141"/>
      <c r="I36" s="143"/>
    </row>
    <row r="37" spans="1:9" ht="12.75">
      <c r="A37" s="71"/>
      <c r="B37" s="22" t="s">
        <v>212</v>
      </c>
      <c r="C37" s="104"/>
      <c r="D37" s="141">
        <v>12000</v>
      </c>
      <c r="E37" s="141">
        <v>0</v>
      </c>
      <c r="F37" s="141"/>
      <c r="G37" s="141"/>
      <c r="H37" s="141"/>
      <c r="I37" s="143"/>
    </row>
    <row r="38" spans="1:11" ht="12.75">
      <c r="A38" s="71">
        <v>2</v>
      </c>
      <c r="B38" s="158" t="s">
        <v>321</v>
      </c>
      <c r="C38" s="159" t="s">
        <v>217</v>
      </c>
      <c r="D38" s="158" t="s">
        <v>213</v>
      </c>
      <c r="E38" s="158" t="s">
        <v>213</v>
      </c>
      <c r="F38" s="158" t="s">
        <v>213</v>
      </c>
      <c r="G38" s="158" t="s">
        <v>213</v>
      </c>
      <c r="H38" s="158" t="s">
        <v>213</v>
      </c>
      <c r="I38" s="166" t="s">
        <v>213</v>
      </c>
      <c r="K38" t="s">
        <v>297</v>
      </c>
    </row>
    <row r="39" spans="1:11" ht="12.75">
      <c r="A39" s="71"/>
      <c r="B39" s="22" t="s">
        <v>212</v>
      </c>
      <c r="C39" s="96"/>
      <c r="D39" s="141">
        <v>0</v>
      </c>
      <c r="E39" s="141"/>
      <c r="F39" s="141"/>
      <c r="G39" s="141"/>
      <c r="H39" s="141"/>
      <c r="I39" s="143"/>
      <c r="K39" t="s">
        <v>298</v>
      </c>
    </row>
    <row r="40" spans="1:9" ht="12.75">
      <c r="A40" s="71" t="s">
        <v>60</v>
      </c>
      <c r="B40" s="18"/>
      <c r="C40" s="112"/>
      <c r="D40" s="18"/>
      <c r="E40" s="18"/>
      <c r="F40" s="18"/>
      <c r="G40" s="18"/>
      <c r="H40" s="18"/>
      <c r="I40" s="38"/>
    </row>
    <row r="41" spans="1:9" ht="12.75">
      <c r="A41" s="71">
        <v>3</v>
      </c>
      <c r="B41" s="141" t="s">
        <v>218</v>
      </c>
      <c r="C41" s="111" t="s">
        <v>217</v>
      </c>
      <c r="D41" s="141"/>
      <c r="E41" s="141"/>
      <c r="F41" s="141"/>
      <c r="G41" s="141"/>
      <c r="H41" s="141"/>
      <c r="I41" s="143"/>
    </row>
    <row r="42" spans="1:9" ht="12.75">
      <c r="A42" s="71"/>
      <c r="B42" s="22" t="s">
        <v>212</v>
      </c>
      <c r="C42" s="96"/>
      <c r="D42" s="141"/>
      <c r="E42" s="141"/>
      <c r="F42" s="141">
        <v>0</v>
      </c>
      <c r="G42" s="141"/>
      <c r="H42" s="141"/>
      <c r="I42" s="143"/>
    </row>
    <row r="43" spans="1:9" ht="12.75">
      <c r="A43" s="71">
        <v>4</v>
      </c>
      <c r="B43" s="141" t="s">
        <v>174</v>
      </c>
      <c r="C43" s="111" t="str">
        <f>C41</f>
        <v>Description</v>
      </c>
      <c r="D43" s="141"/>
      <c r="E43" s="141"/>
      <c r="F43" s="141"/>
      <c r="G43" s="141"/>
      <c r="H43" s="141"/>
      <c r="I43" s="143"/>
    </row>
    <row r="44" spans="1:20" ht="12.75">
      <c r="A44" s="71"/>
      <c r="B44" s="22" t="str">
        <f>B42</f>
        <v>Purchase Price</v>
      </c>
      <c r="C44" s="165"/>
      <c r="D44" s="144"/>
      <c r="E44" s="144"/>
      <c r="F44" s="144"/>
      <c r="G44" s="144"/>
      <c r="H44" s="144"/>
      <c r="I44" s="145"/>
      <c r="T44" s="1"/>
    </row>
    <row r="45" spans="1:9" ht="12.75">
      <c r="A45" s="99"/>
      <c r="B45" s="103" t="s">
        <v>322</v>
      </c>
      <c r="C45" s="42"/>
      <c r="D45" s="42"/>
      <c r="E45" s="42"/>
      <c r="F45" s="42"/>
      <c r="G45" s="42"/>
      <c r="H45" s="42"/>
      <c r="I45" s="43"/>
    </row>
    <row r="47" spans="1:5" ht="12.75">
      <c r="A47"/>
      <c r="E47" s="93" t="s">
        <v>216</v>
      </c>
    </row>
    <row r="48" spans="1:8" ht="12.75">
      <c r="A48"/>
      <c r="H48" s="84"/>
    </row>
    <row r="49" spans="1:16" ht="12.75">
      <c r="A49" s="82">
        <v>1</v>
      </c>
      <c r="B49" s="105" t="str">
        <f>B36</f>
        <v>Equipment</v>
      </c>
      <c r="C49" s="83" t="s">
        <v>214</v>
      </c>
      <c r="D49" s="84"/>
      <c r="E49" s="84"/>
      <c r="F49" s="84"/>
      <c r="G49" s="84"/>
      <c r="K49" s="1">
        <f>A49</f>
        <v>1</v>
      </c>
      <c r="M49" s="2" t="s">
        <v>200</v>
      </c>
      <c r="N49" s="1" t="str">
        <f>B49</f>
        <v>Equipment</v>
      </c>
      <c r="P49" s="1" t="s">
        <v>202</v>
      </c>
    </row>
    <row r="50" spans="1:19" ht="12.75">
      <c r="A50" s="85"/>
      <c r="B50" s="86" t="s">
        <v>3</v>
      </c>
      <c r="C50" s="94">
        <f>C35</f>
        <v>2011</v>
      </c>
      <c r="D50" s="94">
        <f aca="true" t="shared" si="17" ref="D50:I50">D35</f>
        <v>2012</v>
      </c>
      <c r="E50" s="94">
        <f t="shared" si="17"/>
        <v>2013</v>
      </c>
      <c r="F50" s="94">
        <f t="shared" si="17"/>
        <v>2014</v>
      </c>
      <c r="G50" s="94">
        <f t="shared" si="17"/>
        <v>2015</v>
      </c>
      <c r="H50" s="94">
        <f t="shared" si="17"/>
        <v>2016</v>
      </c>
      <c r="I50" s="94">
        <f t="shared" si="17"/>
        <v>2017</v>
      </c>
      <c r="L50" s="2" t="s">
        <v>199</v>
      </c>
      <c r="M50" s="2" t="s">
        <v>201</v>
      </c>
      <c r="N50" s="98">
        <f aca="true" t="shared" si="18" ref="N50:S50">D50</f>
        <v>2012</v>
      </c>
      <c r="O50" s="98">
        <f t="shared" si="18"/>
        <v>2013</v>
      </c>
      <c r="P50" s="98">
        <f t="shared" si="18"/>
        <v>2014</v>
      </c>
      <c r="Q50" s="98">
        <f t="shared" si="18"/>
        <v>2015</v>
      </c>
      <c r="R50" s="98">
        <f t="shared" si="18"/>
        <v>2016</v>
      </c>
      <c r="S50" s="98">
        <f t="shared" si="18"/>
        <v>2017</v>
      </c>
    </row>
    <row r="51" spans="1:19" ht="12.75">
      <c r="A51" s="88" t="s">
        <v>177</v>
      </c>
      <c r="B51" s="84" t="s">
        <v>178</v>
      </c>
      <c r="C51" s="85" t="s">
        <v>217</v>
      </c>
      <c r="D51" s="95" t="str">
        <f aca="true" t="shared" si="19" ref="D51:I51">D36</f>
        <v>Mower</v>
      </c>
      <c r="E51" s="95">
        <f t="shared" si="19"/>
        <v>0</v>
      </c>
      <c r="F51" s="95">
        <f>F36</f>
        <v>0</v>
      </c>
      <c r="G51" s="95">
        <f t="shared" si="19"/>
        <v>0</v>
      </c>
      <c r="H51" s="95">
        <f t="shared" si="19"/>
        <v>0</v>
      </c>
      <c r="I51" s="95">
        <f t="shared" si="19"/>
        <v>0</v>
      </c>
      <c r="L51" s="180">
        <f>N50</f>
        <v>2012</v>
      </c>
      <c r="M51" s="181">
        <f>12*D55</f>
        <v>60</v>
      </c>
      <c r="N51" s="180">
        <f>D56*D57</f>
        <v>1855.9489468250797</v>
      </c>
      <c r="O51" s="180">
        <f>IF(M51-D56&gt;12,D57*12,IF((M51-D56)*D57&gt;0,(M51-D56)*D57,0))</f>
        <v>2783.9234202376197</v>
      </c>
      <c r="P51" s="180">
        <f>IF(M51-D56-12&gt;12,D57*12,IF((M51-D56-12)*D57&gt;0,(M51-D56-12)*D57,0))</f>
        <v>2783.9234202376197</v>
      </c>
      <c r="Q51" s="180">
        <f>IF(M51-D56-24&gt;12,D57*12,IF((M51-D56-24)*D57&gt;0,(M51-D56-24)*D57,0))</f>
        <v>2783.9234202376197</v>
      </c>
      <c r="R51" s="180">
        <f>IF(M51-D56-36&gt;12,D57*12,IF((M51-D56-36)*D57&gt;0,(M51-D56-36)*D57,0))</f>
        <v>2783.9234202376197</v>
      </c>
      <c r="S51" s="180">
        <f>IF(M51-D56-48&gt;12,D57*12,IF((M51-D56-48)*D57&gt;0,(M51-D56-48)*D57,0))</f>
        <v>927.9744734125399</v>
      </c>
    </row>
    <row r="52" spans="1:19" ht="12.75">
      <c r="A52" s="88" t="s">
        <v>179</v>
      </c>
      <c r="B52" s="84" t="s">
        <v>180</v>
      </c>
      <c r="C52" s="85" t="s">
        <v>181</v>
      </c>
      <c r="D52" s="95">
        <f aca="true" t="shared" si="20" ref="D52:I52">D37</f>
        <v>12000</v>
      </c>
      <c r="E52" s="95">
        <f t="shared" si="20"/>
        <v>0</v>
      </c>
      <c r="F52" s="95">
        <f>F37</f>
        <v>0</v>
      </c>
      <c r="G52" s="95">
        <f t="shared" si="20"/>
        <v>0</v>
      </c>
      <c r="H52" s="95">
        <f t="shared" si="20"/>
        <v>0</v>
      </c>
      <c r="I52" s="95">
        <f t="shared" si="20"/>
        <v>0</v>
      </c>
      <c r="L52" s="180">
        <f>O50</f>
        <v>2013</v>
      </c>
      <c r="M52" s="181">
        <f>12*E55</f>
        <v>48</v>
      </c>
      <c r="N52" s="180"/>
      <c r="O52" s="180">
        <f>E56*E57</f>
        <v>0</v>
      </c>
      <c r="P52" s="180">
        <f>IF(M52-E56&gt;12,E57*12,IF((M52-E56)*E57&gt;0,(M52-E56)*E57,0))</f>
        <v>0</v>
      </c>
      <c r="Q52" s="180">
        <f>IF(M52-E56-12&gt;12,E57*12,IF((M52-E56-12)*E57&gt;0,(M52-E56-12)*E57,0))</f>
        <v>0</v>
      </c>
      <c r="R52" s="180">
        <f>IF(M52-E56-24&gt;12,E57*12,IF((M52-E56-24)*E57&gt;0,(M52-E56-24)*E57,0))</f>
        <v>0</v>
      </c>
      <c r="S52" s="180">
        <f>IF(M52-E56-36&gt;12,E57*12,IF((M52-E56-36)*E57&gt;0,(M52-E56-36)*E57,0))</f>
        <v>0</v>
      </c>
    </row>
    <row r="53" spans="1:19" ht="12.75">
      <c r="A53" s="88" t="s">
        <v>182</v>
      </c>
      <c r="B53" s="84" t="s">
        <v>183</v>
      </c>
      <c r="C53" s="85" t="s">
        <v>181</v>
      </c>
      <c r="D53" s="141">
        <v>12000</v>
      </c>
      <c r="E53" s="141">
        <v>0</v>
      </c>
      <c r="F53" s="141"/>
      <c r="G53" s="175">
        <v>0</v>
      </c>
      <c r="H53" s="141"/>
      <c r="I53" s="141"/>
      <c r="L53" s="180">
        <f>P50</f>
        <v>2014</v>
      </c>
      <c r="M53" s="181">
        <f>12*F55</f>
        <v>0</v>
      </c>
      <c r="N53" s="180"/>
      <c r="O53" s="180"/>
      <c r="P53" s="180">
        <f>F56*F57</f>
        <v>0</v>
      </c>
      <c r="Q53" s="180">
        <f>IF(M53-F56&gt;12,F57*12,IF((M53-F56)*F57&gt;0,(M53-F56)*F57,0))</f>
        <v>0</v>
      </c>
      <c r="R53" s="180">
        <f>IF(M53-F56-12&gt;12,F57*12,IF((M53-F56-12)*F57&gt;0,(M53-F56-12)*F57,0))</f>
        <v>0</v>
      </c>
      <c r="S53" s="180">
        <f>IF(M53-F56-24&gt;12,F57*12,IF((M53-F56-24)*F57&gt;0,(M53-F56-24)*F57,0))</f>
        <v>0</v>
      </c>
    </row>
    <row r="54" spans="1:19" ht="12.75">
      <c r="A54" s="88" t="s">
        <v>184</v>
      </c>
      <c r="B54" s="84" t="s">
        <v>185</v>
      </c>
      <c r="C54" s="85" t="s">
        <v>186</v>
      </c>
      <c r="D54" s="149">
        <v>6</v>
      </c>
      <c r="E54" s="149">
        <v>8</v>
      </c>
      <c r="F54" s="149"/>
      <c r="G54" s="149">
        <v>2</v>
      </c>
      <c r="H54" s="149"/>
      <c r="I54" s="149"/>
      <c r="L54" s="180">
        <f>Q50</f>
        <v>2015</v>
      </c>
      <c r="M54" s="181">
        <f>12*G55</f>
        <v>180</v>
      </c>
      <c r="N54" s="180"/>
      <c r="O54" s="180"/>
      <c r="P54" s="180"/>
      <c r="Q54" s="180">
        <f>G56*G57</f>
        <v>0</v>
      </c>
      <c r="R54" s="180">
        <f>IF(M54-G56&gt;12,G57*12,IF((M53-G56)*G57&gt;0,(M53-G56)*G57,0))</f>
        <v>0</v>
      </c>
      <c r="S54" s="180">
        <f>IF(M54-G56-12&gt;12,G57*12,IF((M54-G56-12)*G57&gt;0,(M54-G56-12)*G57,0))</f>
        <v>0</v>
      </c>
    </row>
    <row r="55" spans="1:19" ht="12.75">
      <c r="A55" s="88" t="s">
        <v>187</v>
      </c>
      <c r="B55" s="84" t="s">
        <v>188</v>
      </c>
      <c r="C55" s="85" t="s">
        <v>189</v>
      </c>
      <c r="D55" s="149">
        <v>5</v>
      </c>
      <c r="E55" s="149">
        <v>4</v>
      </c>
      <c r="F55" s="149"/>
      <c r="G55" s="149">
        <v>15</v>
      </c>
      <c r="H55" s="149"/>
      <c r="I55" s="149"/>
      <c r="L55" s="180">
        <f>R50</f>
        <v>2016</v>
      </c>
      <c r="M55" s="181">
        <f>12*H55</f>
        <v>0</v>
      </c>
      <c r="N55" s="180"/>
      <c r="O55" s="180"/>
      <c r="P55" s="180"/>
      <c r="Q55" s="180"/>
      <c r="R55" s="180">
        <f>H56*H57</f>
        <v>0</v>
      </c>
      <c r="S55" s="180">
        <f>IF(M55-H56&gt;12,H57*12,IF((M55-H56)*H57&gt;0,(M55-H56)*H57,0))</f>
        <v>0</v>
      </c>
    </row>
    <row r="56" spans="1:19" ht="12.75">
      <c r="A56" s="88" t="s">
        <v>190</v>
      </c>
      <c r="B56" s="84" t="s">
        <v>194</v>
      </c>
      <c r="C56" s="85" t="s">
        <v>196</v>
      </c>
      <c r="D56" s="149">
        <v>8</v>
      </c>
      <c r="E56" s="149">
        <v>6</v>
      </c>
      <c r="F56" s="149"/>
      <c r="G56" s="149"/>
      <c r="H56" s="149"/>
      <c r="I56" s="149"/>
      <c r="K56">
        <f>12*G57</f>
        <v>0</v>
      </c>
      <c r="L56" s="180">
        <f>S50</f>
        <v>2017</v>
      </c>
      <c r="M56" s="181">
        <f>12*I55</f>
        <v>0</v>
      </c>
      <c r="N56" s="180"/>
      <c r="O56" s="180"/>
      <c r="P56" s="180"/>
      <c r="Q56" s="180"/>
      <c r="R56" s="180"/>
      <c r="S56" s="180">
        <f>I56*I57</f>
        <v>0</v>
      </c>
    </row>
    <row r="57" spans="1:19" ht="12.75">
      <c r="A57" s="88" t="s">
        <v>191</v>
      </c>
      <c r="B57" s="84" t="s">
        <v>195</v>
      </c>
      <c r="C57" s="85"/>
      <c r="D57" s="90">
        <f aca="true" t="shared" si="21" ref="D57:I57">IF(D53&gt;0,PMT((D54%/12),(D55*12),-D53),0)</f>
        <v>231.99361835313496</v>
      </c>
      <c r="E57" s="90">
        <f t="shared" si="21"/>
        <v>0</v>
      </c>
      <c r="F57" s="90">
        <f t="shared" si="21"/>
        <v>0</v>
      </c>
      <c r="G57" s="90">
        <f t="shared" si="21"/>
        <v>0</v>
      </c>
      <c r="H57" s="90">
        <f t="shared" si="21"/>
        <v>0</v>
      </c>
      <c r="I57" s="90">
        <f t="shared" si="21"/>
        <v>0</v>
      </c>
      <c r="L57" s="181"/>
      <c r="M57" s="181"/>
      <c r="N57" s="182">
        <f aca="true" t="shared" si="22" ref="N57:S57">SUM(N51:N56)</f>
        <v>1855.9489468250797</v>
      </c>
      <c r="O57" s="182">
        <f t="shared" si="22"/>
        <v>2783.9234202376197</v>
      </c>
      <c r="P57" s="182">
        <f t="shared" si="22"/>
        <v>2783.9234202376197</v>
      </c>
      <c r="Q57" s="182">
        <f t="shared" si="22"/>
        <v>2783.9234202376197</v>
      </c>
      <c r="R57" s="182">
        <f t="shared" si="22"/>
        <v>2783.9234202376197</v>
      </c>
      <c r="S57" s="182">
        <f t="shared" si="22"/>
        <v>927.9744734125399</v>
      </c>
    </row>
    <row r="58" spans="1:19" ht="12.75">
      <c r="A58" s="88" t="s">
        <v>192</v>
      </c>
      <c r="B58" s="84" t="s">
        <v>193</v>
      </c>
      <c r="C58" s="85"/>
      <c r="D58" s="91">
        <f aca="true" t="shared" si="23" ref="D58:I58">D52-D53</f>
        <v>0</v>
      </c>
      <c r="E58" s="91">
        <f t="shared" si="23"/>
        <v>0</v>
      </c>
      <c r="F58" s="91">
        <f t="shared" si="23"/>
        <v>0</v>
      </c>
      <c r="G58" s="91">
        <f t="shared" si="23"/>
        <v>0</v>
      </c>
      <c r="H58" s="91">
        <f t="shared" si="23"/>
        <v>0</v>
      </c>
      <c r="I58" s="91">
        <f t="shared" si="23"/>
        <v>0</v>
      </c>
      <c r="N58" s="97"/>
      <c r="O58" s="97"/>
      <c r="P58" s="97"/>
      <c r="Q58" s="97"/>
      <c r="R58" s="97"/>
      <c r="S58" s="97"/>
    </row>
    <row r="59" spans="1:19" ht="12.75">
      <c r="A59" s="88"/>
      <c r="B59" s="84"/>
      <c r="C59" s="91"/>
      <c r="D59" s="91"/>
      <c r="E59" s="91"/>
      <c r="F59" s="91"/>
      <c r="G59" s="91"/>
      <c r="H59" s="87"/>
      <c r="N59" s="97"/>
      <c r="O59" s="97"/>
      <c r="P59" s="97"/>
      <c r="Q59" s="97"/>
      <c r="R59" s="97"/>
      <c r="S59" s="97"/>
    </row>
    <row r="60" spans="1:19" ht="12.75">
      <c r="A60" s="82">
        <v>2</v>
      </c>
      <c r="B60" s="106" t="s">
        <v>320</v>
      </c>
      <c r="C60" s="83" t="s">
        <v>215</v>
      </c>
      <c r="D60" s="84"/>
      <c r="E60" s="84"/>
      <c r="F60" s="84"/>
      <c r="G60" s="84"/>
      <c r="K60" s="1">
        <f>A60</f>
        <v>2</v>
      </c>
      <c r="M60" s="2" t="s">
        <v>200</v>
      </c>
      <c r="N60" s="98" t="str">
        <f>B60</f>
        <v>Loans for Planting</v>
      </c>
      <c r="O60" s="97"/>
      <c r="P60" s="1" t="s">
        <v>202</v>
      </c>
      <c r="Q60" s="97"/>
      <c r="R60" s="97"/>
      <c r="S60" s="97"/>
    </row>
    <row r="61" spans="1:19" ht="12.75">
      <c r="A61" s="85"/>
      <c r="B61" s="86" t="s">
        <v>3</v>
      </c>
      <c r="C61" s="94">
        <f>C5</f>
        <v>2011</v>
      </c>
      <c r="D61" s="94">
        <f aca="true" t="shared" si="24" ref="D61:I61">D5</f>
        <v>2012</v>
      </c>
      <c r="E61" s="94">
        <f t="shared" si="24"/>
        <v>2013</v>
      </c>
      <c r="F61" s="94">
        <f t="shared" si="24"/>
        <v>2014</v>
      </c>
      <c r="G61" s="94">
        <f t="shared" si="24"/>
        <v>2015</v>
      </c>
      <c r="H61" s="94">
        <f t="shared" si="24"/>
        <v>2016</v>
      </c>
      <c r="I61" s="94">
        <f t="shared" si="24"/>
        <v>2017</v>
      </c>
      <c r="L61" s="2" t="s">
        <v>199</v>
      </c>
      <c r="M61" s="2" t="s">
        <v>201</v>
      </c>
      <c r="N61" s="98">
        <f aca="true" t="shared" si="25" ref="N61:S61">D61</f>
        <v>2012</v>
      </c>
      <c r="O61" s="98">
        <f t="shared" si="25"/>
        <v>2013</v>
      </c>
      <c r="P61" s="98">
        <f t="shared" si="25"/>
        <v>2014</v>
      </c>
      <c r="Q61" s="98">
        <f t="shared" si="25"/>
        <v>2015</v>
      </c>
      <c r="R61" s="98">
        <f t="shared" si="25"/>
        <v>2016</v>
      </c>
      <c r="S61" s="98">
        <f t="shared" si="25"/>
        <v>2017</v>
      </c>
    </row>
    <row r="62" spans="1:19" ht="12.75">
      <c r="A62" s="88" t="s">
        <v>177</v>
      </c>
      <c r="B62" s="84" t="s">
        <v>178</v>
      </c>
      <c r="C62" s="85" t="s">
        <v>217</v>
      </c>
      <c r="D62" s="85" t="str">
        <f aca="true" t="shared" si="26" ref="D62:I63">D38</f>
        <v>Planting</v>
      </c>
      <c r="E62" s="85" t="str">
        <f t="shared" si="26"/>
        <v>Planting</v>
      </c>
      <c r="F62" s="85" t="str">
        <f t="shared" si="26"/>
        <v>Planting</v>
      </c>
      <c r="G62" s="85" t="str">
        <f t="shared" si="26"/>
        <v>Planting</v>
      </c>
      <c r="H62" s="85" t="str">
        <f t="shared" si="26"/>
        <v>Planting</v>
      </c>
      <c r="I62" s="85" t="str">
        <f t="shared" si="26"/>
        <v>Planting</v>
      </c>
      <c r="L62" s="180">
        <f>N61</f>
        <v>2012</v>
      </c>
      <c r="M62" s="181">
        <f>12*D66</f>
        <v>48</v>
      </c>
      <c r="N62" s="180">
        <f>D67*D68</f>
        <v>0</v>
      </c>
      <c r="O62" s="180">
        <f>IF(M62-D67&gt;12,D68*12,IF((M62-D67)*D68&gt;0,(M62-D67)*D68,0))</f>
        <v>0</v>
      </c>
      <c r="P62" s="180">
        <f>IF(M62-D67-12&gt;12,D68*12,IF((M62-D67-12)*D68&gt;0,(M62-D67-12)*D68,0))</f>
        <v>0</v>
      </c>
      <c r="Q62" s="180">
        <f>IF(M62-D67-24&gt;12,D68*12,IF((M62-D67-24)*D68&gt;0,(M62-D67-24)*D68,0))</f>
        <v>0</v>
      </c>
      <c r="R62" s="180">
        <f>IF(M62-D67-36&gt;12,D68*12,IF((M62-D67-36)*D68&gt;0,(M62-D67-36)*D68,0))</f>
        <v>0</v>
      </c>
      <c r="S62" s="180">
        <f>IF(M62-D67-48&gt;12,D68*12,IF((M62-D67-48)*D68&gt;0,(M62-D67-48)*D68,0))</f>
        <v>0</v>
      </c>
    </row>
    <row r="63" spans="1:19" ht="12.75">
      <c r="A63" s="88" t="s">
        <v>179</v>
      </c>
      <c r="B63" s="84" t="s">
        <v>180</v>
      </c>
      <c r="C63" s="85" t="s">
        <v>181</v>
      </c>
      <c r="D63" s="95">
        <f t="shared" si="26"/>
        <v>0</v>
      </c>
      <c r="E63" s="95">
        <f t="shared" si="26"/>
        <v>0</v>
      </c>
      <c r="F63" s="95">
        <f t="shared" si="26"/>
        <v>0</v>
      </c>
      <c r="G63" s="95">
        <f t="shared" si="26"/>
        <v>0</v>
      </c>
      <c r="H63" s="95">
        <f t="shared" si="26"/>
        <v>0</v>
      </c>
      <c r="I63" s="95">
        <f t="shared" si="26"/>
        <v>0</v>
      </c>
      <c r="L63" s="180">
        <f>O61</f>
        <v>2013</v>
      </c>
      <c r="M63" s="181">
        <f>12*E66</f>
        <v>48</v>
      </c>
      <c r="N63" s="180"/>
      <c r="O63" s="180">
        <f>E67*E68</f>
        <v>0</v>
      </c>
      <c r="P63" s="180">
        <f>IF(M63-E67&gt;12,E68*12,IF((M63-E67)*E68&gt;0,(M63-E67)*E68,0))</f>
        <v>0</v>
      </c>
      <c r="Q63" s="180">
        <f>IF(M63-E67-12&gt;12,E68*12,IF((M63-E67-12)*E68&gt;0,(M63-E67-12)*E68,0))</f>
        <v>0</v>
      </c>
      <c r="R63" s="180">
        <f>IF(M63-E67-24&gt;12,E68*12,IF((M63-E67-24)*E68&gt;0,(M63-E67-24)*E68,0))</f>
        <v>0</v>
      </c>
      <c r="S63" s="180">
        <f>IF(M63-E67-36&gt;12,E68*12,IF((M63-E67-36)*E68&gt;0,(M63-E67-36)*E68,0))</f>
        <v>0</v>
      </c>
    </row>
    <row r="64" spans="1:19" ht="12.75">
      <c r="A64" s="88" t="s">
        <v>182</v>
      </c>
      <c r="B64" s="84" t="s">
        <v>183</v>
      </c>
      <c r="C64" s="85" t="s">
        <v>181</v>
      </c>
      <c r="D64" s="141">
        <v>0</v>
      </c>
      <c r="E64" s="141">
        <v>0</v>
      </c>
      <c r="F64" s="141">
        <v>0</v>
      </c>
      <c r="G64" s="141">
        <v>0</v>
      </c>
      <c r="H64" s="141"/>
      <c r="I64" s="141"/>
      <c r="L64" s="180">
        <f>P61</f>
        <v>2014</v>
      </c>
      <c r="M64" s="181">
        <f>12*F66</f>
        <v>36</v>
      </c>
      <c r="N64" s="180"/>
      <c r="O64" s="180"/>
      <c r="P64" s="180">
        <f>F67*F68</f>
        <v>0</v>
      </c>
      <c r="Q64" s="180">
        <f>IF(M64-F67&gt;12,F68*12,IF((M64-F67)*F68&gt;0,(M64-F67)*F68,0))</f>
        <v>0</v>
      </c>
      <c r="R64" s="180">
        <f>IF(M64-F67-12&gt;12,F68*12,IF((M64-F67-12)*F68&gt;0,(M64-F67-12)*F68,0))</f>
        <v>0</v>
      </c>
      <c r="S64" s="180">
        <f>IF(M64-F67-24&gt;12,F68*12,IF((M64-F67-24)*F68&gt;0,(M64-F67-24)*F68,0))</f>
        <v>0</v>
      </c>
    </row>
    <row r="65" spans="1:19" ht="12.75">
      <c r="A65" s="88" t="s">
        <v>184</v>
      </c>
      <c r="B65" s="84" t="s">
        <v>185</v>
      </c>
      <c r="C65" s="85" t="s">
        <v>186</v>
      </c>
      <c r="D65" s="149">
        <v>9</v>
      </c>
      <c r="E65" s="149">
        <v>8</v>
      </c>
      <c r="F65" s="149">
        <v>8</v>
      </c>
      <c r="G65" s="149"/>
      <c r="H65" s="149"/>
      <c r="I65" s="149"/>
      <c r="L65" s="180">
        <f>Q61</f>
        <v>2015</v>
      </c>
      <c r="M65" s="181">
        <f>12*G66</f>
        <v>0</v>
      </c>
      <c r="N65" s="180"/>
      <c r="O65" s="180"/>
      <c r="P65" s="180"/>
      <c r="Q65" s="180">
        <f>G67*G68</f>
        <v>0</v>
      </c>
      <c r="R65" s="180">
        <f>IF(M65-G67&gt;12,G68*12,IF((M64-G67)*G68&gt;0,(M64-G67)*G68,0))</f>
        <v>0</v>
      </c>
      <c r="S65" s="180">
        <f>IF(M65-G67-12&gt;12,G68*12,IF((M65-G67-12)*G68&gt;0,(M65-G67-12)*G68,0))</f>
        <v>0</v>
      </c>
    </row>
    <row r="66" spans="1:19" ht="12.75">
      <c r="A66" s="88" t="s">
        <v>187</v>
      </c>
      <c r="B66" s="84" t="s">
        <v>188</v>
      </c>
      <c r="C66" s="85" t="s">
        <v>189</v>
      </c>
      <c r="D66" s="149">
        <v>4</v>
      </c>
      <c r="E66" s="149">
        <v>4</v>
      </c>
      <c r="F66" s="149">
        <v>3</v>
      </c>
      <c r="G66" s="149"/>
      <c r="H66" s="149"/>
      <c r="I66" s="149"/>
      <c r="L66" s="180">
        <f>R61</f>
        <v>2016</v>
      </c>
      <c r="M66" s="181">
        <f>12*H66</f>
        <v>0</v>
      </c>
      <c r="N66" s="180"/>
      <c r="O66" s="180"/>
      <c r="P66" s="180"/>
      <c r="Q66" s="180"/>
      <c r="R66" s="180">
        <f>H67*H68</f>
        <v>0</v>
      </c>
      <c r="S66" s="180">
        <f>IF(M66-H67&gt;12,H68*12,IF((M66-H67)*H68&gt;0,(M66-H67)*H68,0))</f>
        <v>0</v>
      </c>
    </row>
    <row r="67" spans="1:19" ht="12.75">
      <c r="A67" s="88" t="s">
        <v>190</v>
      </c>
      <c r="B67" s="84" t="s">
        <v>194</v>
      </c>
      <c r="C67" s="85" t="s">
        <v>196</v>
      </c>
      <c r="D67" s="149">
        <v>6</v>
      </c>
      <c r="E67" s="149">
        <v>6</v>
      </c>
      <c r="F67" s="149">
        <v>9</v>
      </c>
      <c r="G67" s="149"/>
      <c r="H67" s="149"/>
      <c r="I67" s="149"/>
      <c r="L67" s="180">
        <f>S61</f>
        <v>2017</v>
      </c>
      <c r="M67" s="181">
        <f>12*I66</f>
        <v>0</v>
      </c>
      <c r="N67" s="180"/>
      <c r="O67" s="180"/>
      <c r="P67" s="180"/>
      <c r="Q67" s="180"/>
      <c r="R67" s="180"/>
      <c r="S67" s="180">
        <f>I67*I68</f>
        <v>0</v>
      </c>
    </row>
    <row r="68" spans="1:19" ht="12.75">
      <c r="A68" s="88" t="s">
        <v>191</v>
      </c>
      <c r="B68" s="84" t="s">
        <v>195</v>
      </c>
      <c r="C68" s="85"/>
      <c r="D68" s="90">
        <f aca="true" t="shared" si="27" ref="D68:I68">IF(D64&gt;0,PMT((D65%/12),(D66*12),-D64),0)</f>
        <v>0</v>
      </c>
      <c r="E68" s="90">
        <f t="shared" si="27"/>
        <v>0</v>
      </c>
      <c r="F68" s="90">
        <f t="shared" si="27"/>
        <v>0</v>
      </c>
      <c r="G68" s="90">
        <f t="shared" si="27"/>
        <v>0</v>
      </c>
      <c r="H68" s="90">
        <f t="shared" si="27"/>
        <v>0</v>
      </c>
      <c r="I68" s="90">
        <f t="shared" si="27"/>
        <v>0</v>
      </c>
      <c r="L68" s="180"/>
      <c r="M68" s="181"/>
      <c r="N68" s="182">
        <f aca="true" t="shared" si="28" ref="N68:S68">SUM(N62:N67)</f>
        <v>0</v>
      </c>
      <c r="O68" s="182">
        <f t="shared" si="28"/>
        <v>0</v>
      </c>
      <c r="P68" s="182">
        <f t="shared" si="28"/>
        <v>0</v>
      </c>
      <c r="Q68" s="182">
        <f t="shared" si="28"/>
        <v>0</v>
      </c>
      <c r="R68" s="182">
        <f t="shared" si="28"/>
        <v>0</v>
      </c>
      <c r="S68" s="182">
        <f t="shared" si="28"/>
        <v>0</v>
      </c>
    </row>
    <row r="69" spans="1:9" ht="12.75">
      <c r="A69" s="88" t="s">
        <v>192</v>
      </c>
      <c r="B69" s="84" t="s">
        <v>193</v>
      </c>
      <c r="C69" s="85"/>
      <c r="D69" s="91">
        <f aca="true" t="shared" si="29" ref="D69:I69">D63-D64</f>
        <v>0</v>
      </c>
      <c r="E69" s="91">
        <f t="shared" si="29"/>
        <v>0</v>
      </c>
      <c r="F69" s="91">
        <f t="shared" si="29"/>
        <v>0</v>
      </c>
      <c r="G69" s="91">
        <f t="shared" si="29"/>
        <v>0</v>
      </c>
      <c r="H69" s="91">
        <f t="shared" si="29"/>
        <v>0</v>
      </c>
      <c r="I69" s="91">
        <f t="shared" si="29"/>
        <v>0</v>
      </c>
    </row>
    <row r="70" spans="1:8" ht="12.75">
      <c r="A70" s="88"/>
      <c r="B70" s="84"/>
      <c r="C70" s="91"/>
      <c r="D70" s="91"/>
      <c r="E70" s="91"/>
      <c r="F70" s="91"/>
      <c r="G70" s="91"/>
      <c r="H70" s="87"/>
    </row>
    <row r="71" spans="1:19" ht="12.75">
      <c r="A71" s="82">
        <v>3</v>
      </c>
      <c r="B71" s="108" t="str">
        <f>B41</f>
        <v>Buildings/Improvements</v>
      </c>
      <c r="C71" s="83" t="s">
        <v>219</v>
      </c>
      <c r="D71" s="92"/>
      <c r="E71" s="92"/>
      <c r="F71" s="92"/>
      <c r="G71" s="92"/>
      <c r="H71" s="89"/>
      <c r="K71" s="1">
        <f>A71</f>
        <v>3</v>
      </c>
      <c r="M71" s="2" t="s">
        <v>200</v>
      </c>
      <c r="O71" s="97"/>
      <c r="P71" s="7" t="str">
        <f>B71</f>
        <v>Buildings/Improvements</v>
      </c>
      <c r="Q71" s="1" t="s">
        <v>202</v>
      </c>
      <c r="R71" s="97"/>
      <c r="S71" s="97"/>
    </row>
    <row r="72" spans="1:19" ht="12.75">
      <c r="A72" s="85"/>
      <c r="B72" s="86" t="s">
        <v>3</v>
      </c>
      <c r="C72" s="94">
        <f>C5</f>
        <v>2011</v>
      </c>
      <c r="D72" s="94">
        <f aca="true" t="shared" si="30" ref="D72:I72">D5</f>
        <v>2012</v>
      </c>
      <c r="E72" s="94">
        <f t="shared" si="30"/>
        <v>2013</v>
      </c>
      <c r="F72" s="94">
        <f t="shared" si="30"/>
        <v>2014</v>
      </c>
      <c r="G72" s="94">
        <f t="shared" si="30"/>
        <v>2015</v>
      </c>
      <c r="H72" s="94">
        <f t="shared" si="30"/>
        <v>2016</v>
      </c>
      <c r="I72" s="94">
        <f t="shared" si="30"/>
        <v>2017</v>
      </c>
      <c r="L72" s="2" t="s">
        <v>199</v>
      </c>
      <c r="M72" s="2" t="s">
        <v>201</v>
      </c>
      <c r="N72" s="98">
        <f aca="true" t="shared" si="31" ref="N72:S72">D72</f>
        <v>2012</v>
      </c>
      <c r="O72" s="98">
        <f t="shared" si="31"/>
        <v>2013</v>
      </c>
      <c r="P72" s="98">
        <f t="shared" si="31"/>
        <v>2014</v>
      </c>
      <c r="Q72" s="98">
        <f t="shared" si="31"/>
        <v>2015</v>
      </c>
      <c r="R72" s="98">
        <f t="shared" si="31"/>
        <v>2016</v>
      </c>
      <c r="S72" s="98">
        <f t="shared" si="31"/>
        <v>2017</v>
      </c>
    </row>
    <row r="73" spans="1:19" ht="12.75">
      <c r="A73" s="88" t="s">
        <v>177</v>
      </c>
      <c r="B73" s="84" t="s">
        <v>178</v>
      </c>
      <c r="C73" s="85" t="s">
        <v>217</v>
      </c>
      <c r="D73" s="107">
        <f aca="true" t="shared" si="32" ref="D73:I73">D41</f>
        <v>0</v>
      </c>
      <c r="E73" s="107">
        <f t="shared" si="32"/>
        <v>0</v>
      </c>
      <c r="F73" s="107">
        <f t="shared" si="32"/>
        <v>0</v>
      </c>
      <c r="G73" s="107">
        <f t="shared" si="32"/>
        <v>0</v>
      </c>
      <c r="H73" s="107">
        <f t="shared" si="32"/>
        <v>0</v>
      </c>
      <c r="I73" s="107">
        <f t="shared" si="32"/>
        <v>0</v>
      </c>
      <c r="L73" s="180">
        <f>N72</f>
        <v>2012</v>
      </c>
      <c r="M73" s="181">
        <f>12*D77</f>
        <v>0</v>
      </c>
      <c r="N73" s="180">
        <f>D78*D79</f>
        <v>0</v>
      </c>
      <c r="O73" s="180">
        <f>IF(M73-D78&gt;12,D79*12,IF((M73-D78)*D79&gt;0,(M73-D78)*D79,0))</f>
        <v>0</v>
      </c>
      <c r="P73" s="180">
        <f>IF(M73-D78-12&gt;12,D79*12,IF((M73-D78-12)*D79&gt;0,(M73-D78-12)*D79,0))</f>
        <v>0</v>
      </c>
      <c r="Q73" s="180">
        <f>IF(M73-D78-24&gt;12,D79*12,IF((M73-D78-24)*D79&gt;0,(M73-D78-24)*D79,0))</f>
        <v>0</v>
      </c>
      <c r="R73" s="180">
        <f>IF(M73-D78-36&gt;12,D79*12,IF((M73-D78-36)*D79&gt;0,(M73-D78-36)*D79,0))</f>
        <v>0</v>
      </c>
      <c r="S73" s="180">
        <f>IF(M73-D78-48&gt;12,D79*12,IF((M73-D78-48)*D79&gt;0,(M73-D78-48)*D79,0))</f>
        <v>0</v>
      </c>
    </row>
    <row r="74" spans="1:19" ht="12.75">
      <c r="A74" s="88" t="s">
        <v>179</v>
      </c>
      <c r="B74" s="84" t="s">
        <v>180</v>
      </c>
      <c r="C74" s="85" t="s">
        <v>181</v>
      </c>
      <c r="D74" s="95">
        <f aca="true" t="shared" si="33" ref="D74:I74">D$42</f>
        <v>0</v>
      </c>
      <c r="E74" s="95">
        <f t="shared" si="33"/>
        <v>0</v>
      </c>
      <c r="F74" s="95">
        <f t="shared" si="33"/>
        <v>0</v>
      </c>
      <c r="G74" s="95">
        <f t="shared" si="33"/>
        <v>0</v>
      </c>
      <c r="H74" s="95">
        <f t="shared" si="33"/>
        <v>0</v>
      </c>
      <c r="I74" s="95">
        <f t="shared" si="33"/>
        <v>0</v>
      </c>
      <c r="L74" s="180">
        <f>O72</f>
        <v>2013</v>
      </c>
      <c r="M74" s="181">
        <f>12*E77</f>
        <v>0</v>
      </c>
      <c r="N74" s="180"/>
      <c r="O74" s="180">
        <f>E78*E79</f>
        <v>0</v>
      </c>
      <c r="P74" s="180">
        <f>IF(M74-E78&gt;12,E79*12,IF((M74-E78)*E79&gt;0,(M74-E78)*E79,0))</f>
        <v>0</v>
      </c>
      <c r="Q74" s="180">
        <f>IF(M74-E78-12&gt;12,E79*12,IF((M74-E78-12)*E79&gt;0,(M74-E78-12)*E79,0))</f>
        <v>0</v>
      </c>
      <c r="R74" s="180">
        <f>IF(M74-E78-24&gt;12,E79*12,IF((M74-E78-24)*E79&gt;0,(M74-E78-24)*E79,0))</f>
        <v>0</v>
      </c>
      <c r="S74" s="180">
        <f>IF(M74-E78-36&gt;12,E79*12,IF((M74-E78-36)*E79&gt;0,(M74-E78-36)*E79,0))</f>
        <v>0</v>
      </c>
    </row>
    <row r="75" spans="1:19" ht="12.75">
      <c r="A75" s="88" t="s">
        <v>182</v>
      </c>
      <c r="B75" s="84" t="s">
        <v>183</v>
      </c>
      <c r="C75" s="85" t="s">
        <v>181</v>
      </c>
      <c r="D75" s="141"/>
      <c r="E75" s="141"/>
      <c r="F75" s="141">
        <v>0</v>
      </c>
      <c r="G75" s="141"/>
      <c r="H75" s="141"/>
      <c r="I75" s="141"/>
      <c r="L75" s="180">
        <f>P72</f>
        <v>2014</v>
      </c>
      <c r="M75" s="181">
        <f>12*F77</f>
        <v>120</v>
      </c>
      <c r="N75" s="180"/>
      <c r="O75" s="180"/>
      <c r="P75" s="180">
        <f>F78*F79</f>
        <v>0</v>
      </c>
      <c r="Q75" s="180">
        <f>IF(M75-F78&gt;12,F79*12,IF((M75-F78)*F79&gt;0,(M75-F78)*F79,0))</f>
        <v>0</v>
      </c>
      <c r="R75" s="180">
        <f>IF(M75-F78-12&gt;12,F79*12,IF((M75-F78-12)*F79&gt;0,(M75-F78-12)*F79,0))</f>
        <v>0</v>
      </c>
      <c r="S75" s="180">
        <f>IF(M75-F78-24&gt;12,F79*12,IF((M75-F78-24)*F79&gt;0,(M75-F78-24)*F79,0))</f>
        <v>0</v>
      </c>
    </row>
    <row r="76" spans="1:19" ht="12.75">
      <c r="A76" s="88" t="s">
        <v>184</v>
      </c>
      <c r="B76" s="84" t="s">
        <v>185</v>
      </c>
      <c r="C76" s="85" t="s">
        <v>186</v>
      </c>
      <c r="D76" s="149"/>
      <c r="E76" s="149"/>
      <c r="F76" s="150">
        <v>8</v>
      </c>
      <c r="G76" s="149"/>
      <c r="H76" s="149"/>
      <c r="I76" s="149"/>
      <c r="L76" s="180">
        <f>Q72</f>
        <v>2015</v>
      </c>
      <c r="M76" s="181">
        <f>12*G77</f>
        <v>0</v>
      </c>
      <c r="N76" s="180"/>
      <c r="O76" s="180"/>
      <c r="P76" s="180"/>
      <c r="Q76" s="180">
        <f>G78*G79</f>
        <v>0</v>
      </c>
      <c r="R76" s="180">
        <f>IF(M76-G78&gt;12,G79*12,IF((M75-G78)*G79&gt;0,(M75-G78)*G79,0))</f>
        <v>0</v>
      </c>
      <c r="S76" s="180">
        <f>IF(M76-G78-12&gt;12,G79*12,IF((M76-G78-12)*G79&gt;0,(M76-G78-12)*G79,0))</f>
        <v>0</v>
      </c>
    </row>
    <row r="77" spans="1:19" ht="12.75">
      <c r="A77" s="88" t="s">
        <v>187</v>
      </c>
      <c r="B77" s="84" t="s">
        <v>188</v>
      </c>
      <c r="C77" s="85" t="s">
        <v>189</v>
      </c>
      <c r="D77" s="149"/>
      <c r="E77" s="149"/>
      <c r="F77" s="150">
        <v>10</v>
      </c>
      <c r="G77" s="149"/>
      <c r="H77" s="149"/>
      <c r="I77" s="149"/>
      <c r="L77" s="180">
        <f>R72</f>
        <v>2016</v>
      </c>
      <c r="M77" s="181">
        <f>12*H77</f>
        <v>0</v>
      </c>
      <c r="N77" s="180"/>
      <c r="O77" s="180"/>
      <c r="P77" s="180"/>
      <c r="Q77" s="180"/>
      <c r="R77" s="180">
        <f>H78*H79</f>
        <v>0</v>
      </c>
      <c r="S77" s="180">
        <f>IF(M77-H78&gt;12,H79*12,IF((M77-H78)*H79&gt;0,(M77-H78)*H79,0))</f>
        <v>0</v>
      </c>
    </row>
    <row r="78" spans="1:19" ht="12.75">
      <c r="A78" s="88" t="s">
        <v>190</v>
      </c>
      <c r="B78" s="84" t="s">
        <v>194</v>
      </c>
      <c r="C78" s="85" t="s">
        <v>196</v>
      </c>
      <c r="D78" s="149"/>
      <c r="E78" s="149"/>
      <c r="F78" s="149">
        <v>6</v>
      </c>
      <c r="G78" s="149"/>
      <c r="H78" s="149"/>
      <c r="I78" s="149"/>
      <c r="L78" s="180">
        <f>S72</f>
        <v>2017</v>
      </c>
      <c r="M78" s="181">
        <f>12*I77</f>
        <v>0</v>
      </c>
      <c r="N78" s="180"/>
      <c r="O78" s="180"/>
      <c r="P78" s="180"/>
      <c r="Q78" s="180"/>
      <c r="R78" s="180"/>
      <c r="S78" s="180">
        <f>I78*I79</f>
        <v>0</v>
      </c>
    </row>
    <row r="79" spans="1:19" ht="12.75">
      <c r="A79" s="88" t="s">
        <v>191</v>
      </c>
      <c r="B79" s="84" t="s">
        <v>195</v>
      </c>
      <c r="C79" s="85"/>
      <c r="D79" s="90">
        <f aca="true" t="shared" si="34" ref="D79:I79">IF(D75&gt;0,PMT((D76%/12),(D77*12),-D75),0)</f>
        <v>0</v>
      </c>
      <c r="E79" s="90">
        <f t="shared" si="34"/>
        <v>0</v>
      </c>
      <c r="F79" s="90">
        <f t="shared" si="34"/>
        <v>0</v>
      </c>
      <c r="G79" s="90">
        <f t="shared" si="34"/>
        <v>0</v>
      </c>
      <c r="H79" s="90">
        <f t="shared" si="34"/>
        <v>0</v>
      </c>
      <c r="I79" s="90">
        <f t="shared" si="34"/>
        <v>0</v>
      </c>
      <c r="M79" s="181"/>
      <c r="N79" s="182">
        <f aca="true" t="shared" si="35" ref="N79:S79">SUM(N73:N78)</f>
        <v>0</v>
      </c>
      <c r="O79" s="182">
        <f t="shared" si="35"/>
        <v>0</v>
      </c>
      <c r="P79" s="182">
        <f t="shared" si="35"/>
        <v>0</v>
      </c>
      <c r="Q79" s="182">
        <f t="shared" si="35"/>
        <v>0</v>
      </c>
      <c r="R79" s="182">
        <f t="shared" si="35"/>
        <v>0</v>
      </c>
      <c r="S79" s="182">
        <f t="shared" si="35"/>
        <v>0</v>
      </c>
    </row>
    <row r="80" spans="1:9" ht="12.75">
      <c r="A80" s="88" t="s">
        <v>192</v>
      </c>
      <c r="B80" s="84" t="s">
        <v>193</v>
      </c>
      <c r="C80" s="85"/>
      <c r="D80" s="91">
        <f aca="true" t="shared" si="36" ref="D80:I80">D74-D75</f>
        <v>0</v>
      </c>
      <c r="E80" s="91">
        <f t="shared" si="36"/>
        <v>0</v>
      </c>
      <c r="F80" s="91">
        <f t="shared" si="36"/>
        <v>0</v>
      </c>
      <c r="G80" s="91">
        <f t="shared" si="36"/>
        <v>0</v>
      </c>
      <c r="H80" s="91">
        <f t="shared" si="36"/>
        <v>0</v>
      </c>
      <c r="I80" s="91">
        <f t="shared" si="36"/>
        <v>0</v>
      </c>
    </row>
    <row r="81" ht="12.75">
      <c r="A81"/>
    </row>
    <row r="82" spans="1:16" ht="12.75">
      <c r="A82" s="82">
        <v>4</v>
      </c>
      <c r="B82" s="106" t="str">
        <f>B43</f>
        <v>Real Estate</v>
      </c>
      <c r="C82" s="83" t="s">
        <v>220</v>
      </c>
      <c r="D82" s="92"/>
      <c r="E82" s="92"/>
      <c r="F82" s="92"/>
      <c r="G82" s="92"/>
      <c r="H82" s="89"/>
      <c r="K82" s="1">
        <f>A82</f>
        <v>4</v>
      </c>
      <c r="M82" s="2" t="s">
        <v>200</v>
      </c>
      <c r="O82" s="106" t="str">
        <f>B82</f>
        <v>Real Estate</v>
      </c>
      <c r="P82" s="1" t="s">
        <v>202</v>
      </c>
    </row>
    <row r="83" spans="1:19" ht="12.75">
      <c r="A83" s="85"/>
      <c r="B83" s="86" t="s">
        <v>3</v>
      </c>
      <c r="C83" s="94">
        <f>C72</f>
        <v>2011</v>
      </c>
      <c r="D83" s="94">
        <f aca="true" t="shared" si="37" ref="D83:I83">D72</f>
        <v>2012</v>
      </c>
      <c r="E83" s="94">
        <f t="shared" si="37"/>
        <v>2013</v>
      </c>
      <c r="F83" s="94">
        <f t="shared" si="37"/>
        <v>2014</v>
      </c>
      <c r="G83" s="94">
        <f t="shared" si="37"/>
        <v>2015</v>
      </c>
      <c r="H83" s="94">
        <f t="shared" si="37"/>
        <v>2016</v>
      </c>
      <c r="I83" s="94">
        <f t="shared" si="37"/>
        <v>2017</v>
      </c>
      <c r="L83" s="2" t="s">
        <v>199</v>
      </c>
      <c r="M83" s="2" t="s">
        <v>201</v>
      </c>
      <c r="N83" s="98">
        <f aca="true" t="shared" si="38" ref="N83:S83">D83</f>
        <v>2012</v>
      </c>
      <c r="O83" s="98">
        <f t="shared" si="38"/>
        <v>2013</v>
      </c>
      <c r="P83" s="98">
        <f t="shared" si="38"/>
        <v>2014</v>
      </c>
      <c r="Q83" s="98">
        <f t="shared" si="38"/>
        <v>2015</v>
      </c>
      <c r="R83" s="98">
        <f t="shared" si="38"/>
        <v>2016</v>
      </c>
      <c r="S83" s="98">
        <f t="shared" si="38"/>
        <v>2017</v>
      </c>
    </row>
    <row r="84" spans="1:19" ht="12.75">
      <c r="A84" s="88" t="s">
        <v>177</v>
      </c>
      <c r="B84" s="84" t="s">
        <v>178</v>
      </c>
      <c r="C84" s="85" t="s">
        <v>217</v>
      </c>
      <c r="D84" s="107">
        <f aca="true" t="shared" si="39" ref="D84:I84">D43</f>
        <v>0</v>
      </c>
      <c r="E84" s="107">
        <f t="shared" si="39"/>
        <v>0</v>
      </c>
      <c r="F84" s="107">
        <f t="shared" si="39"/>
        <v>0</v>
      </c>
      <c r="G84" s="107">
        <f t="shared" si="39"/>
        <v>0</v>
      </c>
      <c r="H84" s="107">
        <f t="shared" si="39"/>
        <v>0</v>
      </c>
      <c r="I84" s="107">
        <f t="shared" si="39"/>
        <v>0</v>
      </c>
      <c r="L84" s="180">
        <f>N83</f>
        <v>2012</v>
      </c>
      <c r="M84" s="181">
        <f>12*D88</f>
        <v>0</v>
      </c>
      <c r="N84" s="180">
        <f>D89*D90</f>
        <v>0</v>
      </c>
      <c r="O84" s="180">
        <f>IF(M84-D89&gt;12,D90*12,IF((M84-D89)*D90&gt;0,(M84-D89)*D90,0))</f>
        <v>0</v>
      </c>
      <c r="P84" s="180">
        <f>IF(M84-D89-12&gt;12,D90*12,IF((M84-D89-12)*D90&gt;0,(M84-D89-12)*D90,0))</f>
        <v>0</v>
      </c>
      <c r="Q84" s="180">
        <f>IF(M84-D89-24&gt;12,D90*12,IF((M84-D89-24)*D90&gt;0,(M84-D89-24)*D90,0))</f>
        <v>0</v>
      </c>
      <c r="R84" s="180">
        <f>IF(M84-D89-36&gt;12,D90*12,IF((M84-D89-36)*D90&gt;0,(M84-D89-36)*D90,0))</f>
        <v>0</v>
      </c>
      <c r="S84" s="180">
        <f>IF(M84-D89-48&gt;12,D90*12,IF((M84-D89-48)*D90&gt;0,(M84-D89-48)*D90,0))</f>
        <v>0</v>
      </c>
    </row>
    <row r="85" spans="1:19" ht="12.75">
      <c r="A85" s="88" t="s">
        <v>179</v>
      </c>
      <c r="B85" s="84" t="s">
        <v>180</v>
      </c>
      <c r="C85" s="85" t="s">
        <v>181</v>
      </c>
      <c r="D85" s="95">
        <f aca="true" t="shared" si="40" ref="D85:I85">D44</f>
        <v>0</v>
      </c>
      <c r="E85" s="95">
        <f t="shared" si="40"/>
        <v>0</v>
      </c>
      <c r="F85" s="95">
        <f t="shared" si="40"/>
        <v>0</v>
      </c>
      <c r="G85" s="95">
        <f t="shared" si="40"/>
        <v>0</v>
      </c>
      <c r="H85" s="95">
        <f t="shared" si="40"/>
        <v>0</v>
      </c>
      <c r="I85" s="95">
        <f t="shared" si="40"/>
        <v>0</v>
      </c>
      <c r="L85" s="180">
        <f>O83</f>
        <v>2013</v>
      </c>
      <c r="M85" s="181">
        <f>12*E88</f>
        <v>0</v>
      </c>
      <c r="N85" s="180"/>
      <c r="O85" s="180">
        <f>E89*E90</f>
        <v>0</v>
      </c>
      <c r="P85" s="180">
        <f>IF(M85-E89&gt;12,E90*12,IF((M85-E89)*E90&gt;0,(M85-E89)*E90,0))</f>
        <v>0</v>
      </c>
      <c r="Q85" s="180">
        <f>IF(M85-E89-12&gt;12,E90*12,IF((M85-E89-12)*E90&gt;0,(M85-E89-12)*E90,0))</f>
        <v>0</v>
      </c>
      <c r="R85" s="180">
        <f>IF(M85-E89-24&gt;12,E90*12,IF((M85-E89-24)*E90&gt;0,(M85-E89-24)*E90,0))</f>
        <v>0</v>
      </c>
      <c r="S85" s="180">
        <f>IF(M85-E89-36&gt;12,E90*12,IF((M85-E89-36)*E90&gt;0,(M85-E89-36)*E90,0))</f>
        <v>0</v>
      </c>
    </row>
    <row r="86" spans="1:19" ht="12.75">
      <c r="A86" s="88" t="s">
        <v>182</v>
      </c>
      <c r="B86" s="84" t="s">
        <v>183</v>
      </c>
      <c r="C86" s="85" t="s">
        <v>181</v>
      </c>
      <c r="D86" s="141"/>
      <c r="E86" s="141"/>
      <c r="F86" s="141"/>
      <c r="G86" s="141"/>
      <c r="H86" s="141"/>
      <c r="I86" s="141"/>
      <c r="L86" s="180">
        <f>P83</f>
        <v>2014</v>
      </c>
      <c r="M86" s="181">
        <f>12*F88</f>
        <v>0</v>
      </c>
      <c r="N86" s="180"/>
      <c r="O86" s="180"/>
      <c r="P86" s="180">
        <f>F89*F90</f>
        <v>0</v>
      </c>
      <c r="Q86" s="180">
        <f>IF(M86-F89&gt;12,F90*12,IF((M86-F89)*F90&gt;0,(M86-F89)*F90,0))</f>
        <v>0</v>
      </c>
      <c r="R86" s="180">
        <f>IF(M86-F89-12&gt;12,F90*12,IF((M86-F89-12)*F90&gt;0,(M86-F89-12)*F90,0))</f>
        <v>0</v>
      </c>
      <c r="S86" s="180">
        <f>IF(M86-F89-24&gt;12,F90*12,IF((M86-F89-24)*F90&gt;0,(M86-F89-24)*F90,0))</f>
        <v>0</v>
      </c>
    </row>
    <row r="87" spans="1:19" ht="12.75">
      <c r="A87" s="88" t="s">
        <v>184</v>
      </c>
      <c r="B87" s="84" t="s">
        <v>185</v>
      </c>
      <c r="C87" s="85" t="s">
        <v>186</v>
      </c>
      <c r="D87" s="150"/>
      <c r="E87" s="150"/>
      <c r="F87" s="150"/>
      <c r="G87" s="150"/>
      <c r="H87" s="150"/>
      <c r="I87" s="150"/>
      <c r="L87" s="180">
        <f>Q83</f>
        <v>2015</v>
      </c>
      <c r="M87" s="181">
        <f>12*G88</f>
        <v>0</v>
      </c>
      <c r="N87" s="180"/>
      <c r="O87" s="180"/>
      <c r="P87" s="180"/>
      <c r="Q87" s="180">
        <f>G89*G90</f>
        <v>0</v>
      </c>
      <c r="R87" s="180">
        <f>IF(M87-G89&gt;12,G90*12,IF((M86-G89)*G90&gt;0,(M86-G89)*G90,0))</f>
        <v>0</v>
      </c>
      <c r="S87" s="180">
        <f>IF(M87-G89-12&gt;12,G90*12,IF((M87-G89-12)*G90&gt;0,(M87-G89-12)*G90,0))</f>
        <v>0</v>
      </c>
    </row>
    <row r="88" spans="1:19" ht="12.75">
      <c r="A88" s="88" t="s">
        <v>187</v>
      </c>
      <c r="B88" s="84" t="s">
        <v>188</v>
      </c>
      <c r="C88" s="85" t="s">
        <v>189</v>
      </c>
      <c r="D88" s="150"/>
      <c r="E88" s="150"/>
      <c r="F88" s="150"/>
      <c r="G88" s="150"/>
      <c r="H88" s="150"/>
      <c r="I88" s="150"/>
      <c r="L88" s="180">
        <f>R83</f>
        <v>2016</v>
      </c>
      <c r="M88" s="181">
        <f>12*H88</f>
        <v>0</v>
      </c>
      <c r="N88" s="180"/>
      <c r="O88" s="180"/>
      <c r="P88" s="180"/>
      <c r="Q88" s="180"/>
      <c r="R88" s="180">
        <f>H89*H90</f>
        <v>0</v>
      </c>
      <c r="S88" s="180">
        <f>IF(M88-H89&gt;12,H90*12,IF((M88-H89)*H90&gt;0,(M88-H89)*H90,0))</f>
        <v>0</v>
      </c>
    </row>
    <row r="89" spans="1:19" ht="12.75">
      <c r="A89" s="88" t="s">
        <v>190</v>
      </c>
      <c r="B89" s="84" t="s">
        <v>194</v>
      </c>
      <c r="C89" s="85" t="s">
        <v>196</v>
      </c>
      <c r="D89" s="149"/>
      <c r="E89" s="149"/>
      <c r="F89" s="149"/>
      <c r="G89" s="149"/>
      <c r="H89" s="149"/>
      <c r="I89" s="149"/>
      <c r="L89" s="180">
        <f>S83</f>
        <v>2017</v>
      </c>
      <c r="M89" s="181">
        <f>12*I88</f>
        <v>0</v>
      </c>
      <c r="N89" s="180"/>
      <c r="O89" s="180"/>
      <c r="P89" s="180"/>
      <c r="Q89" s="180"/>
      <c r="R89" s="180"/>
      <c r="S89" s="180">
        <f>I89*I90</f>
        <v>0</v>
      </c>
    </row>
    <row r="90" spans="1:19" ht="12.75">
      <c r="A90" s="88" t="s">
        <v>191</v>
      </c>
      <c r="B90" s="84" t="s">
        <v>195</v>
      </c>
      <c r="C90" s="85"/>
      <c r="D90" s="90">
        <f aca="true" t="shared" si="41" ref="D90:I90">IF(D86&gt;0,PMT((D87%/12),(D88*12),-D86),0)</f>
        <v>0</v>
      </c>
      <c r="E90" s="90">
        <f t="shared" si="41"/>
        <v>0</v>
      </c>
      <c r="F90" s="90">
        <f t="shared" si="41"/>
        <v>0</v>
      </c>
      <c r="G90" s="90">
        <f t="shared" si="41"/>
        <v>0</v>
      </c>
      <c r="H90" s="90">
        <f t="shared" si="41"/>
        <v>0</v>
      </c>
      <c r="I90" s="90">
        <f t="shared" si="41"/>
        <v>0</v>
      </c>
      <c r="M90" s="181"/>
      <c r="N90" s="182">
        <f aca="true" t="shared" si="42" ref="N90:S90">SUM(N84:N89)</f>
        <v>0</v>
      </c>
      <c r="O90" s="182">
        <f t="shared" si="42"/>
        <v>0</v>
      </c>
      <c r="P90" s="182">
        <f t="shared" si="42"/>
        <v>0</v>
      </c>
      <c r="Q90" s="182">
        <f t="shared" si="42"/>
        <v>0</v>
      </c>
      <c r="R90" s="182">
        <f t="shared" si="42"/>
        <v>0</v>
      </c>
      <c r="S90" s="182">
        <f t="shared" si="42"/>
        <v>0</v>
      </c>
    </row>
    <row r="91" spans="1:9" ht="12.75">
      <c r="A91" s="88" t="s">
        <v>192</v>
      </c>
      <c r="B91" s="84" t="s">
        <v>193</v>
      </c>
      <c r="C91" s="85"/>
      <c r="D91" s="91">
        <f aca="true" t="shared" si="43" ref="D91:I91">D85-D86</f>
        <v>0</v>
      </c>
      <c r="E91" s="91">
        <f t="shared" si="43"/>
        <v>0</v>
      </c>
      <c r="F91" s="91">
        <f t="shared" si="43"/>
        <v>0</v>
      </c>
      <c r="G91" s="91">
        <f t="shared" si="43"/>
        <v>0</v>
      </c>
      <c r="H91" s="91">
        <f t="shared" si="43"/>
        <v>0</v>
      </c>
      <c r="I91" s="91">
        <f t="shared" si="43"/>
        <v>0</v>
      </c>
    </row>
  </sheetData>
  <sheetProtection/>
  <printOptions headings="1"/>
  <pageMargins left="0.25" right="0.33" top="0.5" bottom="0.58" header="0.3" footer="0.31"/>
  <pageSetup fitToHeight="2" fitToWidth="2" horizontalDpi="300" verticalDpi="300" orientation="landscape" pageOrder="overThenDown" scale="85" r:id="rId1"/>
  <headerFooter alignWithMargins="0">
    <oddHeader>&amp;C&amp;F</oddHeader>
    <oddFooter>&amp;CPenn State Farm Management Extension</oddFooter>
  </headerFooter>
  <rowBreaks count="1" manualBreakCount="1">
    <brk id="45" max="255" man="1"/>
  </rowBreaks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C38" sqref="C38"/>
    </sheetView>
  </sheetViews>
  <sheetFormatPr defaultColWidth="9.140625" defaultRowHeight="12.75"/>
  <cols>
    <col min="1" max="1" width="2.8515625" style="1" customWidth="1"/>
    <col min="2" max="2" width="19.8515625" style="0" customWidth="1"/>
    <col min="3" max="9" width="10.7109375" style="0" customWidth="1"/>
    <col min="10" max="10" width="2.00390625" style="0" customWidth="1"/>
    <col min="11" max="11" width="10.8515625" style="0" customWidth="1"/>
    <col min="14" max="14" width="20.140625" style="0" customWidth="1"/>
    <col min="15" max="15" width="9.28125" style="0" customWidth="1"/>
  </cols>
  <sheetData>
    <row r="1" ht="12.75">
      <c r="E1" s="2" t="s">
        <v>1</v>
      </c>
    </row>
    <row r="2" ht="12.75">
      <c r="E2" s="2" t="s">
        <v>252</v>
      </c>
    </row>
    <row r="3" ht="12.75">
      <c r="E3" s="123" t="s">
        <v>372</v>
      </c>
    </row>
    <row r="4" spans="2:3" ht="12.75">
      <c r="B4" s="7" t="s">
        <v>2</v>
      </c>
      <c r="C4" t="str">
        <f>'Enterprise Budgets'!C3</f>
        <v>Michigan Example Fruit Farm</v>
      </c>
    </row>
    <row r="5" spans="3:9" ht="12.75">
      <c r="C5" s="14">
        <f>'Production Plan'!C5</f>
        <v>2011</v>
      </c>
      <c r="D5" s="14">
        <f>'Production Plan'!D5</f>
        <v>2012</v>
      </c>
      <c r="E5" s="14">
        <f>'Production Plan'!E5</f>
        <v>2013</v>
      </c>
      <c r="F5" s="14">
        <f>'Production Plan'!F5</f>
        <v>2014</v>
      </c>
      <c r="G5" s="14">
        <f>'Production Plan'!G5</f>
        <v>2015</v>
      </c>
      <c r="H5" s="14">
        <f>'Production Plan'!H5</f>
        <v>2016</v>
      </c>
      <c r="I5" s="14">
        <f>'Production Plan'!I5</f>
        <v>2017</v>
      </c>
    </row>
    <row r="6" spans="1:9" ht="12.75">
      <c r="A6" s="1" t="s">
        <v>51</v>
      </c>
      <c r="C6" s="125"/>
      <c r="D6" s="5"/>
      <c r="E6" s="5"/>
      <c r="F6" s="5"/>
      <c r="G6" s="5"/>
      <c r="H6" s="5"/>
      <c r="I6" s="6"/>
    </row>
    <row r="7" spans="2:9" ht="12.75">
      <c r="B7" t="str">
        <f>'Production Plan'!B116</f>
        <v>Tall Spindle Apples</v>
      </c>
      <c r="C7" s="58">
        <f>'Production Plan'!C116</f>
        <v>0</v>
      </c>
      <c r="D7" s="59">
        <f>'Production Plan'!D116</f>
        <v>0</v>
      </c>
      <c r="E7" s="59">
        <f>'Production Plan'!E116</f>
        <v>0</v>
      </c>
      <c r="F7" s="59">
        <f>'Production Plan'!F116</f>
        <v>0</v>
      </c>
      <c r="G7" s="59">
        <f>'Production Plan'!G116</f>
        <v>0</v>
      </c>
      <c r="H7" s="59">
        <f>'Production Plan'!H116</f>
        <v>0</v>
      </c>
      <c r="I7" s="60">
        <f>'Production Plan'!I116</f>
        <v>0</v>
      </c>
    </row>
    <row r="8" spans="2:9" ht="12.75">
      <c r="B8" t="str">
        <f>'Production Plan'!B117</f>
        <v>Vertical Axe Apples</v>
      </c>
      <c r="C8" s="58">
        <f>'Production Plan'!C117</f>
        <v>0</v>
      </c>
      <c r="D8" s="59">
        <f>'Production Plan'!D117</f>
        <v>0</v>
      </c>
      <c r="E8" s="59">
        <f>'Production Plan'!E117</f>
        <v>0</v>
      </c>
      <c r="F8" s="59">
        <f>'Production Plan'!F117</f>
        <v>0</v>
      </c>
      <c r="G8" s="59">
        <f>'Production Plan'!G117</f>
        <v>0</v>
      </c>
      <c r="H8" s="59">
        <f>'Production Plan'!H117</f>
        <v>0</v>
      </c>
      <c r="I8" s="60">
        <f>'Production Plan'!I117</f>
        <v>0</v>
      </c>
    </row>
    <row r="9" spans="2:9" ht="12.75">
      <c r="B9" t="str">
        <f>'Production Plan'!B118</f>
        <v>Central Leader Apples</v>
      </c>
      <c r="C9" s="58">
        <f>'Production Plan'!C118</f>
        <v>0</v>
      </c>
      <c r="D9" s="59">
        <f>'Production Plan'!D118</f>
        <v>0</v>
      </c>
      <c r="E9" s="59">
        <f>'Production Plan'!E118</f>
        <v>0</v>
      </c>
      <c r="F9" s="59">
        <f>'Production Plan'!F118</f>
        <v>0</v>
      </c>
      <c r="G9" s="59">
        <f>'Production Plan'!G118</f>
        <v>0</v>
      </c>
      <c r="H9" s="59">
        <f>'Production Plan'!H118</f>
        <v>0</v>
      </c>
      <c r="I9" s="60">
        <f>'Production Plan'!I118</f>
        <v>0</v>
      </c>
    </row>
    <row r="10" spans="2:9" ht="12.75">
      <c r="B10" t="str">
        <f>'Production Plan'!B119</f>
        <v>Cheeries Tart (2011)</v>
      </c>
      <c r="C10" s="58">
        <f>'Production Plan'!C119</f>
        <v>57080.43999999999</v>
      </c>
      <c r="D10" s="59">
        <f>'Production Plan'!D119</f>
        <v>2237.639999999996</v>
      </c>
      <c r="E10" s="59">
        <f>'Production Plan'!E119</f>
        <v>33909.44</v>
      </c>
      <c r="F10" s="59">
        <f>'Production Plan'!F119</f>
        <v>60009.44</v>
      </c>
      <c r="G10" s="59">
        <f>'Production Plan'!G119</f>
        <v>60009.44</v>
      </c>
      <c r="H10" s="59">
        <f>'Production Plan'!H119</f>
        <v>60009.44</v>
      </c>
      <c r="I10" s="60">
        <f>'Production Plan'!I119</f>
        <v>60009.44</v>
      </c>
    </row>
    <row r="11" spans="2:9" ht="12.75">
      <c r="B11" t="str">
        <f>'Production Plan'!B120</f>
        <v>Wine Grapes (2007)</v>
      </c>
      <c r="C11" s="58">
        <f>'Production Plan'!C120</f>
        <v>0</v>
      </c>
      <c r="D11" s="59">
        <f>'Production Plan'!D120</f>
        <v>0</v>
      </c>
      <c r="E11" s="59">
        <f>'Production Plan'!E120</f>
        <v>0</v>
      </c>
      <c r="F11" s="59">
        <f>'Production Plan'!F120</f>
        <v>0</v>
      </c>
      <c r="G11" s="59">
        <f>'Production Plan'!G120</f>
        <v>0</v>
      </c>
      <c r="H11" s="59">
        <f>'Production Plan'!H120</f>
        <v>0</v>
      </c>
      <c r="I11" s="60">
        <f>'Production Plan'!I120</f>
        <v>0</v>
      </c>
    </row>
    <row r="12" spans="2:9" ht="12.75">
      <c r="B12" t="str">
        <f>'Production Plan'!B121</f>
        <v>Swt. Ch. Brine-2011</v>
      </c>
      <c r="C12" s="58">
        <f>'Production Plan'!C121</f>
        <v>108313.03</v>
      </c>
      <c r="D12" s="59">
        <f>'Production Plan'!D121</f>
        <v>21397.23</v>
      </c>
      <c r="E12" s="59">
        <f>'Production Plan'!E121</f>
        <v>4091.029999999999</v>
      </c>
      <c r="F12" s="59">
        <f>'Production Plan'!F121</f>
        <v>12151.029999999999</v>
      </c>
      <c r="G12" s="59">
        <f>'Production Plan'!G121</f>
        <v>12151.029999999999</v>
      </c>
      <c r="H12" s="59">
        <f>'Production Plan'!H121</f>
        <v>12151.029999999999</v>
      </c>
      <c r="I12" s="60">
        <f>'Production Plan'!I121</f>
        <v>12151.029999999999</v>
      </c>
    </row>
    <row r="13" spans="2:9" ht="12.75">
      <c r="B13" t="str">
        <f>'Production Plan'!B122</f>
        <v>Swt Ch. Proc. DK (2011)</v>
      </c>
      <c r="C13" s="50">
        <f>'Production Plan'!C122</f>
        <v>3013.779999999999</v>
      </c>
      <c r="D13" s="18">
        <f>'Production Plan'!D122</f>
        <v>337.3799999999974</v>
      </c>
      <c r="E13" s="18">
        <f>'Production Plan'!E122</f>
        <v>4091.029999999999</v>
      </c>
      <c r="F13" s="18">
        <f>'Production Plan'!F122</f>
        <v>12151.029999999999</v>
      </c>
      <c r="G13" s="18">
        <f>'Production Plan'!G122</f>
        <v>12151.029999999999</v>
      </c>
      <c r="H13" s="18">
        <f>'Production Plan'!H122</f>
        <v>12151.029999999999</v>
      </c>
      <c r="I13" s="38">
        <f>'Production Plan'!I122</f>
        <v>12151.029999999999</v>
      </c>
    </row>
    <row r="14" spans="2:9" ht="12.75">
      <c r="B14" t="str">
        <f>'Production Plan'!B123</f>
        <v>Sweet Ch. Fresh (2011)</v>
      </c>
      <c r="C14" s="99">
        <f>'Production Plan'!C123</f>
        <v>121791.02999999997</v>
      </c>
      <c r="D14" s="42">
        <f>'Production Plan'!D123</f>
        <v>45932.82999999999</v>
      </c>
      <c r="E14" s="42">
        <f>'Production Plan'!E123</f>
        <v>63313.52999999997</v>
      </c>
      <c r="F14" s="42">
        <f>'Production Plan'!F123</f>
        <v>93213.52999999997</v>
      </c>
      <c r="G14" s="42">
        <f>'Production Plan'!G123</f>
        <v>93213.52999999997</v>
      </c>
      <c r="H14" s="42">
        <f>'Production Plan'!H123</f>
        <v>93213.52999999997</v>
      </c>
      <c r="I14" s="43">
        <f>'Production Plan'!I123</f>
        <v>93213.52999999997</v>
      </c>
    </row>
    <row r="15" spans="2:9" ht="12.75">
      <c r="B15" s="1" t="s">
        <v>53</v>
      </c>
      <c r="C15" s="61">
        <f>'Production Plan'!C124</f>
        <v>290198.2799999999</v>
      </c>
      <c r="D15" s="62">
        <f>'Production Plan'!D124</f>
        <v>69905.07999999999</v>
      </c>
      <c r="E15" s="62">
        <f>'Production Plan'!E124</f>
        <v>105405.02999999997</v>
      </c>
      <c r="F15" s="62">
        <f>'Production Plan'!F124</f>
        <v>177525.02999999997</v>
      </c>
      <c r="G15" s="62">
        <f>'Production Plan'!G124</f>
        <v>177525.02999999997</v>
      </c>
      <c r="H15" s="62">
        <f>'Production Plan'!H124</f>
        <v>177525.02999999997</v>
      </c>
      <c r="I15" s="63">
        <f>'Production Plan'!I124</f>
        <v>177525.02999999997</v>
      </c>
    </row>
    <row r="16" spans="3:9" ht="12.75">
      <c r="C16" s="55"/>
      <c r="D16" s="55"/>
      <c r="E16" s="55"/>
      <c r="F16" s="55"/>
      <c r="G16" s="55"/>
      <c r="H16" s="55"/>
      <c r="I16" s="55"/>
    </row>
    <row r="17" spans="1:9" ht="12.75">
      <c r="A17" s="1" t="s">
        <v>67</v>
      </c>
      <c r="C17" s="44">
        <f>'Whole Farm'!C12</f>
        <v>0</v>
      </c>
      <c r="D17" s="44">
        <f>'Whole Farm'!D12</f>
        <v>0</v>
      </c>
      <c r="E17" s="44">
        <f>'Whole Farm'!E12</f>
        <v>0</v>
      </c>
      <c r="F17" s="44">
        <f>'Whole Farm'!F12</f>
        <v>0</v>
      </c>
      <c r="G17" s="44">
        <f>'Whole Farm'!G12</f>
        <v>0</v>
      </c>
      <c r="H17" s="44">
        <f>'Whole Farm'!H12</f>
        <v>0</v>
      </c>
      <c r="I17" s="44">
        <f>'Whole Farm'!I12</f>
        <v>0</v>
      </c>
    </row>
    <row r="18" spans="2:9" ht="12.75">
      <c r="B18" s="7" t="s">
        <v>32</v>
      </c>
      <c r="C18" s="157">
        <f>C17+C15</f>
        <v>290198.2799999999</v>
      </c>
      <c r="D18" s="157">
        <f aca="true" t="shared" si="0" ref="D18:I18">D17+D15</f>
        <v>69905.07999999999</v>
      </c>
      <c r="E18" s="157">
        <f t="shared" si="0"/>
        <v>105405.02999999997</v>
      </c>
      <c r="F18" s="157">
        <f t="shared" si="0"/>
        <v>177525.02999999997</v>
      </c>
      <c r="G18" s="157">
        <f t="shared" si="0"/>
        <v>177525.02999999997</v>
      </c>
      <c r="H18" s="157">
        <f t="shared" si="0"/>
        <v>177525.02999999997</v>
      </c>
      <c r="I18" s="157">
        <f t="shared" si="0"/>
        <v>177525.02999999997</v>
      </c>
    </row>
    <row r="19" ht="12.75">
      <c r="B19" s="47" t="s">
        <v>71</v>
      </c>
    </row>
    <row r="20" spans="1:9" ht="12.75">
      <c r="A20" s="1" t="s">
        <v>68</v>
      </c>
      <c r="C20" s="57">
        <f>'Whole Farm'!C31</f>
        <v>61700</v>
      </c>
      <c r="D20" s="57">
        <f>'Whole Farm'!D31</f>
        <v>61700</v>
      </c>
      <c r="E20" s="57">
        <f>'Whole Farm'!E31</f>
        <v>58900</v>
      </c>
      <c r="F20" s="57">
        <f>'Whole Farm'!F31</f>
        <v>58900</v>
      </c>
      <c r="G20" s="57">
        <f>'Whole Farm'!G31</f>
        <v>58900</v>
      </c>
      <c r="H20" s="57">
        <f>'Whole Farm'!H31</f>
        <v>58900</v>
      </c>
      <c r="I20" s="57">
        <f>'Whole Farm'!I31</f>
        <v>58900</v>
      </c>
    </row>
    <row r="21" spans="2:9" ht="12.75">
      <c r="B21" s="47" t="s">
        <v>72</v>
      </c>
      <c r="C21" s="57"/>
      <c r="D21" s="57"/>
      <c r="E21" s="57"/>
      <c r="F21" s="57"/>
      <c r="G21" s="57"/>
      <c r="H21" s="57"/>
      <c r="I21" s="57"/>
    </row>
    <row r="22" spans="1:9" ht="12.75">
      <c r="A22" s="1" t="s">
        <v>69</v>
      </c>
      <c r="C22" s="57">
        <f>C18-C20</f>
        <v>228498.2799999999</v>
      </c>
      <c r="D22" s="57">
        <f aca="true" t="shared" si="1" ref="D22:I22">D18-D20</f>
        <v>8205.079999999987</v>
      </c>
      <c r="E22" s="57">
        <f t="shared" si="1"/>
        <v>46505.02999999997</v>
      </c>
      <c r="F22" s="57">
        <f t="shared" si="1"/>
        <v>118625.02999999997</v>
      </c>
      <c r="G22" s="57">
        <f t="shared" si="1"/>
        <v>118625.02999999997</v>
      </c>
      <c r="H22" s="57">
        <f t="shared" si="1"/>
        <v>118625.02999999997</v>
      </c>
      <c r="I22" s="57">
        <f t="shared" si="1"/>
        <v>118625.02999999997</v>
      </c>
    </row>
    <row r="23" spans="2:9" ht="12.75">
      <c r="B23" s="47" t="s">
        <v>71</v>
      </c>
      <c r="C23" s="57"/>
      <c r="D23" s="57"/>
      <c r="E23" s="57"/>
      <c r="F23" s="57"/>
      <c r="G23" s="57"/>
      <c r="H23" s="57"/>
      <c r="I23" s="57"/>
    </row>
    <row r="24" spans="1:9" ht="12.75">
      <c r="A24" s="1" t="s">
        <v>221</v>
      </c>
      <c r="C24" s="57">
        <f>'Investments,Loans'!M29</f>
        <v>75394</v>
      </c>
      <c r="D24" s="57">
        <f>'Investments,Loans'!N29</f>
        <v>77395.94894682508</v>
      </c>
      <c r="E24" s="57">
        <f>'Investments,Loans'!O29</f>
        <v>78433.92342023762</v>
      </c>
      <c r="F24" s="57">
        <f>'Investments,Loans'!P29</f>
        <v>51061.92342023762</v>
      </c>
      <c r="G24" s="57">
        <f>'Investments,Loans'!Q29</f>
        <v>51061.92342023762</v>
      </c>
      <c r="H24" s="57">
        <f>'Investments,Loans'!R29</f>
        <v>46861.92342023762</v>
      </c>
      <c r="I24" s="57">
        <f>'Investments,Loans'!S29</f>
        <v>45005.97447341254</v>
      </c>
    </row>
    <row r="25" spans="2:9" ht="12.75">
      <c r="B25" s="47" t="s">
        <v>222</v>
      </c>
      <c r="C25" s="57"/>
      <c r="D25" s="57"/>
      <c r="E25" s="57"/>
      <c r="F25" s="57"/>
      <c r="G25" s="57"/>
      <c r="H25" s="57"/>
      <c r="I25" s="57"/>
    </row>
    <row r="26" spans="1:9" ht="12.75">
      <c r="A26" s="1" t="s">
        <v>70</v>
      </c>
      <c r="C26" s="57">
        <f>C22-C24</f>
        <v>153104.2799999999</v>
      </c>
      <c r="D26" s="57">
        <f aca="true" t="shared" si="2" ref="D26:I26">D22-D24</f>
        <v>-69190.8689468251</v>
      </c>
      <c r="E26" s="57">
        <f t="shared" si="2"/>
        <v>-31928.893420237655</v>
      </c>
      <c r="F26" s="57">
        <f t="shared" si="2"/>
        <v>67563.10657976236</v>
      </c>
      <c r="G26" s="57">
        <f t="shared" si="2"/>
        <v>67563.10657976236</v>
      </c>
      <c r="H26" s="57">
        <f t="shared" si="2"/>
        <v>71763.10657976236</v>
      </c>
      <c r="I26" s="57">
        <f t="shared" si="2"/>
        <v>73619.05552658743</v>
      </c>
    </row>
    <row r="27" spans="2:9" ht="12.75">
      <c r="B27" s="47" t="s">
        <v>73</v>
      </c>
      <c r="C27" s="57"/>
      <c r="D27" s="57"/>
      <c r="E27" s="57"/>
      <c r="F27" s="57"/>
      <c r="G27" s="57"/>
      <c r="H27" s="57"/>
      <c r="I27" s="57"/>
    </row>
    <row r="28" spans="1:9" ht="12.75">
      <c r="A28" s="1" t="s">
        <v>74</v>
      </c>
      <c r="C28" s="57">
        <f>'Whole Farm'!C14</f>
        <v>0</v>
      </c>
      <c r="D28" s="57">
        <f>'Whole Farm'!D14</f>
        <v>0</v>
      </c>
      <c r="E28" s="57">
        <f>'Whole Farm'!E14</f>
        <v>0</v>
      </c>
      <c r="F28" s="57">
        <f>'Whole Farm'!F14</f>
        <v>0</v>
      </c>
      <c r="G28" s="57">
        <f>'Whole Farm'!G14</f>
        <v>0</v>
      </c>
      <c r="H28" s="57">
        <f>'Whole Farm'!H14</f>
        <v>0</v>
      </c>
      <c r="I28" s="57">
        <f>'Whole Farm'!I14</f>
        <v>0</v>
      </c>
    </row>
    <row r="29" spans="2:9" ht="12.75">
      <c r="B29" s="47" t="s">
        <v>72</v>
      </c>
      <c r="C29" s="57"/>
      <c r="D29" s="57"/>
      <c r="E29" s="57"/>
      <c r="F29" s="57"/>
      <c r="G29" s="57"/>
      <c r="H29" s="57"/>
      <c r="I29" s="57"/>
    </row>
    <row r="30" spans="1:11" ht="12.75">
      <c r="A30" s="1" t="s">
        <v>75</v>
      </c>
      <c r="C30" s="57">
        <f>C28+C26</f>
        <v>153104.2799999999</v>
      </c>
      <c r="D30" s="57">
        <f aca="true" t="shared" si="3" ref="D30:I30">D28+D26</f>
        <v>-69190.8689468251</v>
      </c>
      <c r="E30" s="57">
        <f t="shared" si="3"/>
        <v>-31928.893420237655</v>
      </c>
      <c r="F30" s="57">
        <f t="shared" si="3"/>
        <v>67563.10657976236</v>
      </c>
      <c r="G30" s="57">
        <f t="shared" si="3"/>
        <v>67563.10657976236</v>
      </c>
      <c r="H30" s="57">
        <f t="shared" si="3"/>
        <v>71763.10657976236</v>
      </c>
      <c r="I30" s="57">
        <f t="shared" si="3"/>
        <v>73619.05552658743</v>
      </c>
      <c r="K30" t="s">
        <v>250</v>
      </c>
    </row>
    <row r="31" spans="2:11" ht="12.75">
      <c r="B31" s="47" t="s">
        <v>71</v>
      </c>
      <c r="C31" s="57"/>
      <c r="D31" s="57"/>
      <c r="E31" s="57"/>
      <c r="F31" s="57"/>
      <c r="G31" s="57"/>
      <c r="H31" s="57"/>
      <c r="I31" s="57"/>
      <c r="K31" t="s">
        <v>293</v>
      </c>
    </row>
    <row r="32" spans="2:9" ht="12.75">
      <c r="B32" t="s">
        <v>76</v>
      </c>
      <c r="C32" s="57">
        <f>'Whole Farm'!C34</f>
        <v>54600</v>
      </c>
      <c r="D32" s="57">
        <f>'Whole Farm'!D34</f>
        <v>54600</v>
      </c>
      <c r="E32" s="57">
        <f>'Whole Farm'!E34</f>
        <v>54600</v>
      </c>
      <c r="F32" s="57">
        <f>'Whole Farm'!F34</f>
        <v>54600</v>
      </c>
      <c r="G32" s="57">
        <f>'Whole Farm'!G34</f>
        <v>54600</v>
      </c>
      <c r="H32" s="57">
        <f>'Whole Farm'!H34</f>
        <v>54600</v>
      </c>
      <c r="I32" s="57">
        <f>'Whole Farm'!I34</f>
        <v>54600</v>
      </c>
    </row>
    <row r="33" spans="2:9" ht="12.75">
      <c r="B33" s="47" t="s">
        <v>71</v>
      </c>
      <c r="C33" s="57"/>
      <c r="D33" s="57"/>
      <c r="E33" s="57"/>
      <c r="F33" s="57"/>
      <c r="G33" s="57"/>
      <c r="H33" s="57"/>
      <c r="I33" s="57"/>
    </row>
    <row r="34" spans="2:11" ht="12.75">
      <c r="B34" s="26" t="s">
        <v>91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K34" t="s">
        <v>294</v>
      </c>
    </row>
    <row r="35" spans="2:9" ht="12.75">
      <c r="B35" s="47" t="s">
        <v>72</v>
      </c>
      <c r="C35" s="57"/>
      <c r="D35" s="57"/>
      <c r="E35" s="57"/>
      <c r="F35" s="57"/>
      <c r="G35" s="57"/>
      <c r="H35" s="57"/>
      <c r="I35" s="57"/>
    </row>
    <row r="36" spans="1:9" ht="12.75">
      <c r="A36" s="1" t="s">
        <v>269</v>
      </c>
      <c r="C36" s="56">
        <f>C30-C32-C34</f>
        <v>98504.27999999991</v>
      </c>
      <c r="D36" s="56">
        <f aca="true" t="shared" si="4" ref="D36:I36">D30-D32-D34</f>
        <v>-123790.8689468251</v>
      </c>
      <c r="E36" s="56">
        <f t="shared" si="4"/>
        <v>-86528.89342023765</v>
      </c>
      <c r="F36" s="56">
        <f t="shared" si="4"/>
        <v>12963.10657976236</v>
      </c>
      <c r="G36" s="56">
        <f t="shared" si="4"/>
        <v>12963.10657976236</v>
      </c>
      <c r="H36" s="56">
        <f t="shared" si="4"/>
        <v>17163.10657976236</v>
      </c>
      <c r="I36" s="56">
        <f t="shared" si="4"/>
        <v>19019.055526587428</v>
      </c>
    </row>
    <row r="37" spans="1:2" ht="12.75">
      <c r="A37" s="47" t="s">
        <v>73</v>
      </c>
      <c r="B37" s="110" t="s">
        <v>234</v>
      </c>
    </row>
    <row r="38" spans="1:9" ht="12.75">
      <c r="A38" s="47"/>
      <c r="B38" s="1" t="s">
        <v>235</v>
      </c>
      <c r="C38" s="55">
        <f>'Investments,Loans'!D64</f>
        <v>0</v>
      </c>
      <c r="D38" s="55">
        <f>'Investments,Loans'!E64</f>
        <v>0</v>
      </c>
      <c r="E38" s="55">
        <f>'Investments,Loans'!F64</f>
        <v>0</v>
      </c>
      <c r="F38" s="55">
        <f>'Investments,Loans'!G64</f>
        <v>0</v>
      </c>
      <c r="G38" s="55">
        <f>'Investments,Loans'!H64</f>
        <v>0</v>
      </c>
      <c r="H38" s="55">
        <f>'Investments,Loans'!I64</f>
        <v>0</v>
      </c>
      <c r="I38" s="55">
        <f>'Investments,Loans'!J58</f>
        <v>0</v>
      </c>
    </row>
    <row r="39" spans="1:9" ht="12.75">
      <c r="A39" s="47"/>
      <c r="B39" s="1"/>
      <c r="C39" s="55"/>
      <c r="D39" s="55"/>
      <c r="E39" s="55"/>
      <c r="F39" s="55"/>
      <c r="G39" s="55"/>
      <c r="H39" s="55"/>
      <c r="I39" s="55"/>
    </row>
    <row r="40" spans="11:15" ht="12.75">
      <c r="K40" s="126" t="s">
        <v>253</v>
      </c>
      <c r="L40" s="5"/>
      <c r="M40" s="5"/>
      <c r="N40" s="5"/>
      <c r="O40" s="6"/>
    </row>
    <row r="41" spans="2:15" ht="12.75">
      <c r="B41" s="1" t="s">
        <v>236</v>
      </c>
      <c r="C41" s="56">
        <f aca="true" t="shared" si="5" ref="C41:I41">C36+C38</f>
        <v>98504.27999999991</v>
      </c>
      <c r="D41" s="56">
        <f t="shared" si="5"/>
        <v>-123790.8689468251</v>
      </c>
      <c r="E41" s="56">
        <f t="shared" si="5"/>
        <v>-86528.89342023765</v>
      </c>
      <c r="F41" s="56">
        <f t="shared" si="5"/>
        <v>12963.10657976236</v>
      </c>
      <c r="G41" s="56">
        <f t="shared" si="5"/>
        <v>12963.10657976236</v>
      </c>
      <c r="H41" s="56">
        <f t="shared" si="5"/>
        <v>17163.10657976236</v>
      </c>
      <c r="I41" s="56">
        <f t="shared" si="5"/>
        <v>19019.055526587428</v>
      </c>
      <c r="J41" s="1" t="s">
        <v>251</v>
      </c>
      <c r="K41" s="127" t="s">
        <v>373</v>
      </c>
      <c r="L41" s="42"/>
      <c r="M41" s="42"/>
      <c r="N41" s="42"/>
      <c r="O41" s="43"/>
    </row>
    <row r="42" ht="12.75">
      <c r="D42" s="44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spans="1:5" ht="12.75">
      <c r="A52"/>
      <c r="E52" s="151"/>
    </row>
    <row r="53" ht="12.75">
      <c r="A53"/>
    </row>
  </sheetData>
  <sheetProtection sheet="1" objects="1" scenarios="1"/>
  <printOptions headings="1"/>
  <pageMargins left="0.65" right="0.26" top="0.49" bottom="0.36" header="0.26" footer="0.21"/>
  <pageSetup horizontalDpi="300" verticalDpi="300" orientation="landscape" scale="85" r:id="rId1"/>
  <headerFooter alignWithMargins="0">
    <oddHeader>&amp;COrchard Planner</oddHeader>
    <oddFooter>&amp;CPenn State Extension Farm Management</oddFooter>
  </headerFooter>
  <rowBreaks count="1" manualBreakCount="1">
    <brk id="42" max="255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16.28125" style="0" customWidth="1"/>
  </cols>
  <sheetData>
    <row r="1" ht="12.75">
      <c r="A1" t="s">
        <v>389</v>
      </c>
    </row>
    <row r="3" spans="1:10" ht="12.75">
      <c r="A3" t="s">
        <v>398</v>
      </c>
      <c r="J3" t="s">
        <v>390</v>
      </c>
    </row>
    <row r="4" ht="12.75">
      <c r="B4" s="51" t="s">
        <v>391</v>
      </c>
    </row>
    <row r="6" spans="1:12" ht="12.75">
      <c r="A6" t="s">
        <v>397</v>
      </c>
      <c r="C6">
        <v>2002</v>
      </c>
      <c r="D6">
        <v>2003</v>
      </c>
      <c r="E6">
        <v>2004</v>
      </c>
      <c r="F6">
        <v>2005</v>
      </c>
      <c r="G6">
        <v>2006</v>
      </c>
      <c r="H6">
        <v>2007</v>
      </c>
      <c r="I6">
        <v>2008</v>
      </c>
      <c r="J6">
        <v>2009</v>
      </c>
      <c r="K6">
        <v>2010</v>
      </c>
      <c r="L6">
        <v>2011</v>
      </c>
    </row>
    <row r="8" spans="1:12" ht="12.75">
      <c r="A8" t="s">
        <v>392</v>
      </c>
      <c r="C8">
        <v>0.479</v>
      </c>
      <c r="D8">
        <v>0.376</v>
      </c>
      <c r="E8">
        <v>0.335</v>
      </c>
      <c r="F8">
        <v>0.229</v>
      </c>
      <c r="G8">
        <v>0.192</v>
      </c>
      <c r="H8">
        <v>0.264</v>
      </c>
      <c r="I8">
        <v>0.382</v>
      </c>
      <c r="J8">
        <v>0.157</v>
      </c>
      <c r="K8">
        <v>0.21</v>
      </c>
      <c r="L8">
        <v>0.3</v>
      </c>
    </row>
    <row r="9" ht="12.75">
      <c r="A9" t="s">
        <v>393</v>
      </c>
    </row>
    <row r="10" spans="1:12" ht="12.75">
      <c r="A10" t="s">
        <v>394</v>
      </c>
      <c r="C10">
        <v>1.27</v>
      </c>
      <c r="D10">
        <v>1.115</v>
      </c>
      <c r="E10">
        <v>1.01</v>
      </c>
      <c r="F10">
        <v>0.885</v>
      </c>
      <c r="G10">
        <v>1.375</v>
      </c>
      <c r="H10">
        <v>1.03</v>
      </c>
      <c r="I10">
        <v>1.31</v>
      </c>
      <c r="J10">
        <v>1.195</v>
      </c>
      <c r="K10">
        <v>1.145</v>
      </c>
      <c r="L10">
        <v>1.205</v>
      </c>
    </row>
    <row r="11" spans="1:12" ht="12.75">
      <c r="A11" t="s">
        <v>395</v>
      </c>
      <c r="C11">
        <v>0.357</v>
      </c>
      <c r="D11">
        <v>0.387</v>
      </c>
      <c r="E11">
        <v>0.316</v>
      </c>
      <c r="F11">
        <v>0.297</v>
      </c>
      <c r="G11">
        <v>0.336</v>
      </c>
      <c r="H11">
        <v>0.303</v>
      </c>
      <c r="I11">
        <v>0.24</v>
      </c>
      <c r="J11">
        <v>0.212</v>
      </c>
      <c r="K11">
        <v>0.273</v>
      </c>
      <c r="L11">
        <v>0.389</v>
      </c>
    </row>
    <row r="12" spans="14:18" ht="12.75">
      <c r="N12" t="s">
        <v>402</v>
      </c>
      <c r="O12" t="s">
        <v>404</v>
      </c>
      <c r="P12" t="s">
        <v>403</v>
      </c>
      <c r="R12" t="s">
        <v>404</v>
      </c>
    </row>
    <row r="13" spans="1:18" ht="12.75">
      <c r="A13" t="s">
        <v>399</v>
      </c>
      <c r="C13">
        <v>0.124</v>
      </c>
      <c r="D13">
        <v>0.117</v>
      </c>
      <c r="E13">
        <v>0.123</v>
      </c>
      <c r="F13">
        <v>0.125</v>
      </c>
      <c r="G13">
        <v>0.141</v>
      </c>
      <c r="H13">
        <v>0.169</v>
      </c>
      <c r="I13">
        <v>0.196</v>
      </c>
      <c r="J13">
        <v>0.131</v>
      </c>
      <c r="K13">
        <v>0.181</v>
      </c>
      <c r="L13">
        <v>0.199</v>
      </c>
      <c r="N13">
        <v>0.151</v>
      </c>
      <c r="O13">
        <v>7.25</v>
      </c>
      <c r="P13">
        <v>0.149</v>
      </c>
      <c r="R13">
        <v>7.15</v>
      </c>
    </row>
    <row r="14" spans="1:18" ht="12.75">
      <c r="A14" t="s">
        <v>400</v>
      </c>
      <c r="C14">
        <v>0.223</v>
      </c>
      <c r="D14">
        <v>0.195</v>
      </c>
      <c r="E14">
        <v>0.202</v>
      </c>
      <c r="F14">
        <v>0.21</v>
      </c>
      <c r="G14">
        <v>0.245</v>
      </c>
      <c r="H14">
        <v>0.29</v>
      </c>
      <c r="I14">
        <v>0.355</v>
      </c>
      <c r="J14">
        <v>0.215</v>
      </c>
      <c r="K14">
        <v>0.3</v>
      </c>
      <c r="L14">
        <v>0.35</v>
      </c>
      <c r="N14">
        <v>0.259</v>
      </c>
      <c r="O14">
        <v>12.43</v>
      </c>
      <c r="P14">
        <v>0.254</v>
      </c>
      <c r="R14">
        <v>12.19</v>
      </c>
    </row>
    <row r="15" spans="1:18" ht="12.75">
      <c r="A15" t="s">
        <v>401</v>
      </c>
      <c r="C15">
        <v>0.081</v>
      </c>
      <c r="D15">
        <v>0.075</v>
      </c>
      <c r="E15">
        <v>0.085</v>
      </c>
      <c r="F15">
        <v>0.082</v>
      </c>
      <c r="G15">
        <v>0.086</v>
      </c>
      <c r="H15">
        <v>0.106</v>
      </c>
      <c r="I15">
        <v>0.136</v>
      </c>
      <c r="J15">
        <v>0.074</v>
      </c>
      <c r="K15">
        <v>0.112</v>
      </c>
      <c r="L15">
        <v>0.119</v>
      </c>
      <c r="N15">
        <v>0.096</v>
      </c>
      <c r="O15">
        <v>4.61</v>
      </c>
      <c r="P15">
        <v>0.093</v>
      </c>
      <c r="R15">
        <v>4.48</v>
      </c>
    </row>
    <row r="17" spans="1:16" ht="12.75">
      <c r="A17" s="51" t="s">
        <v>412</v>
      </c>
      <c r="N17" s="51" t="s">
        <v>402</v>
      </c>
      <c r="P17" s="51" t="s">
        <v>413</v>
      </c>
    </row>
    <row r="18" spans="1:16" ht="12.75">
      <c r="A18" s="51" t="s">
        <v>394</v>
      </c>
      <c r="C18">
        <v>1.21</v>
      </c>
      <c r="D18">
        <v>1.3</v>
      </c>
      <c r="E18">
        <v>1.6</v>
      </c>
      <c r="F18">
        <v>1.7</v>
      </c>
      <c r="G18">
        <v>2.15</v>
      </c>
      <c r="H18">
        <v>2.05</v>
      </c>
      <c r="I18">
        <v>1.7</v>
      </c>
      <c r="J18">
        <v>1.65</v>
      </c>
      <c r="K18">
        <v>1.7</v>
      </c>
      <c r="L18">
        <v>2.15</v>
      </c>
      <c r="N18" s="51">
        <v>1.721</v>
      </c>
      <c r="P18" s="51">
        <v>1.731</v>
      </c>
    </row>
    <row r="19" spans="1:16" ht="12.75">
      <c r="A19" s="51" t="s">
        <v>395</v>
      </c>
      <c r="C19">
        <v>0.61</v>
      </c>
      <c r="D19">
        <v>0.84</v>
      </c>
      <c r="E19">
        <v>0.9</v>
      </c>
      <c r="F19">
        <v>1</v>
      </c>
      <c r="G19">
        <v>1.43</v>
      </c>
      <c r="H19">
        <v>1.64</v>
      </c>
      <c r="I19">
        <v>0.8</v>
      </c>
      <c r="J19">
        <v>0.42</v>
      </c>
      <c r="K19">
        <v>1.23</v>
      </c>
      <c r="L19">
        <v>1.2</v>
      </c>
      <c r="N19" s="51">
        <v>1.007</v>
      </c>
      <c r="P19" s="51">
        <v>1.001</v>
      </c>
    </row>
    <row r="23" ht="12.75">
      <c r="A23" t="s">
        <v>396</v>
      </c>
    </row>
    <row r="25" ht="12.75">
      <c r="A25" t="s">
        <v>437</v>
      </c>
    </row>
    <row r="27" ht="12.75">
      <c r="A27" t="s">
        <v>405</v>
      </c>
    </row>
    <row r="29" ht="12.75">
      <c r="A29" t="s">
        <v>409</v>
      </c>
    </row>
    <row r="31" ht="12.75">
      <c r="A31" t="s">
        <v>415</v>
      </c>
    </row>
    <row r="33" ht="12.75">
      <c r="A33" s="51" t="s">
        <v>416</v>
      </c>
    </row>
    <row r="35" ht="12.75">
      <c r="A35" s="51" t="s">
        <v>417</v>
      </c>
    </row>
    <row r="37" ht="12.75">
      <c r="A37" s="51" t="s">
        <v>421</v>
      </c>
    </row>
    <row r="38" ht="12.75">
      <c r="B38" s="51" t="s">
        <v>418</v>
      </c>
    </row>
    <row r="40" ht="12.75">
      <c r="A40" s="51" t="s">
        <v>419</v>
      </c>
    </row>
    <row r="41" ht="12.75">
      <c r="A41" s="51" t="s">
        <v>420</v>
      </c>
    </row>
    <row r="43" ht="12.75">
      <c r="A43" t="s">
        <v>434</v>
      </c>
    </row>
    <row r="44" ht="12.75">
      <c r="A44" t="s">
        <v>436</v>
      </c>
    </row>
    <row r="45" ht="12.75">
      <c r="A45" t="s">
        <v>439</v>
      </c>
    </row>
    <row r="46" ht="12.75">
      <c r="A46" t="s">
        <v>440</v>
      </c>
    </row>
    <row r="47" ht="12.75">
      <c r="A47" t="s">
        <v>441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P. Freund</dc:creator>
  <cp:keywords/>
  <dc:description/>
  <cp:lastModifiedBy>Moore, Stanley</cp:lastModifiedBy>
  <cp:lastPrinted>2012-09-10T17:41:33Z</cp:lastPrinted>
  <dcterms:created xsi:type="dcterms:W3CDTF">2000-05-17T18:08:52Z</dcterms:created>
  <dcterms:modified xsi:type="dcterms:W3CDTF">2012-10-02T17:01:32Z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