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workbookProtection lockStructure="1"/>
  <bookViews>
    <workbookView xWindow="0" yWindow="0" windowWidth="23040" windowHeight="9408" tabRatio="899" activeTab="1"/>
  </bookViews>
  <sheets>
    <sheet name="Background &amp; Instructions" sheetId="28" r:id="rId1"/>
    <sheet name="Analysis &amp; Interpretation" sheetId="29" r:id="rId2"/>
    <sheet name="Assum - Age, Yield, TRR &amp; Prem" sheetId="30" state="hidden" r:id="rId3"/>
    <sheet name="Chestnuts Orchard Model" sheetId="18" r:id="rId4"/>
    <sheet name="Defender(TartCher)Orchard Model" sheetId="20" r:id="rId5"/>
    <sheet name="Chestnuts Cost to Establish" sheetId="5" r:id="rId6"/>
    <sheet name="Defender ACPA (2)" sheetId="25" state="hidden" r:id="rId7"/>
    <sheet name="Chestnuts Cost Per Acre" sheetId="7" r:id="rId8"/>
    <sheet name="Chestnuts Machinery Cost" sheetId="36" r:id="rId9"/>
    <sheet name="Defender Cost to Establish" sheetId="6" r:id="rId10"/>
    <sheet name="Defender Cost Per Acre" sheetId="8" r:id="rId11"/>
    <sheet name="Challenger ACPA (2)" sheetId="32" state="hidden" r:id="rId12"/>
    <sheet name="Sheet4" sheetId="21" state="hidden" r:id="rId13"/>
    <sheet name="Sheet6" sheetId="27" state="hidden" r:id="rId14"/>
    <sheet name=" Do Not Modify Defender ML" sheetId="24" state="hidden" r:id="rId15"/>
    <sheet name="DNM Break-Even Challenger ML" sheetId="26" state="hidden" r:id="rId16"/>
    <sheet name="Sheet1" sheetId="33" state="hidden" r:id="rId17"/>
    <sheet name="Sheet2" sheetId="34" state="hidden" r:id="rId18"/>
    <sheet name="Sheet3" sheetId="35" state="hidden" r:id="rId19"/>
    <sheet name="Defender Machinery Cost" sheetId="37" r:id="rId20"/>
    <sheet name="Sheet5" sheetId="38" r:id="rId21"/>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Pal_Workbook_GUID" hidden="1">"RCIR2YTWCUDHUMXEPIZYSC91"</definedName>
    <definedName name="_xlnm.Print_Area" localSheetId="7">'Chestnuts Cost Per Acre'!$E$1:$L$79</definedName>
    <definedName name="_xlnm.Print_Area" localSheetId="10">'Defender Cost Per Acre'!$E$1:$L$69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52511"/>
</workbook>
</file>

<file path=xl/calcChain.xml><?xml version="1.0" encoding="utf-8"?>
<calcChain xmlns="http://schemas.openxmlformats.org/spreadsheetml/2006/main">
  <c r="D29" i="20" l="1"/>
  <c r="D30" i="20" s="1"/>
  <c r="D31" i="20" s="1"/>
  <c r="D32" i="20" s="1"/>
  <c r="D33" i="20" s="1"/>
  <c r="D34" i="20" s="1"/>
  <c r="D35" i="20" s="1"/>
  <c r="D36" i="20" s="1"/>
  <c r="D37" i="20" s="1"/>
  <c r="D38" i="20" s="1"/>
  <c r="D39" i="20" s="1"/>
  <c r="D40" i="20" s="1"/>
  <c r="D41" i="20" s="1"/>
  <c r="D42" i="20" s="1"/>
  <c r="D43" i="20" s="1"/>
  <c r="D44" i="20" s="1"/>
  <c r="D45" i="20" s="1"/>
  <c r="D46" i="20" s="1"/>
  <c r="D47" i="20" s="1"/>
  <c r="D48" i="20" s="1"/>
  <c r="D49" i="20" s="1"/>
  <c r="D50" i="20" s="1"/>
  <c r="D51" i="20" s="1"/>
  <c r="D52" i="20" s="1"/>
  <c r="D53" i="20" s="1"/>
  <c r="D54" i="20" s="1"/>
  <c r="D10" i="6"/>
  <c r="L77" i="7" l="1"/>
  <c r="L67" i="8"/>
  <c r="F3" i="6" l="1"/>
  <c r="E27" i="7" l="1"/>
  <c r="E55" i="7" s="1"/>
  <c r="E26" i="7"/>
  <c r="E54" i="7" s="1"/>
  <c r="K28" i="7" l="1"/>
  <c r="L28" i="7"/>
  <c r="H40" i="7" l="1"/>
  <c r="H41" i="7"/>
  <c r="H42" i="7"/>
  <c r="F4" i="37" l="1"/>
  <c r="F5" i="37"/>
  <c r="F6" i="37"/>
  <c r="F7" i="37"/>
  <c r="F8" i="37"/>
  <c r="F9" i="37"/>
  <c r="F10" i="37"/>
  <c r="F11" i="37"/>
  <c r="F12" i="37"/>
  <c r="F13" i="37"/>
  <c r="F3" i="37"/>
  <c r="D24" i="6"/>
  <c r="D36" i="6" s="1"/>
  <c r="G14" i="6" s="1"/>
  <c r="D24" i="5"/>
  <c r="D38" i="5" s="1"/>
  <c r="G29" i="5" l="1"/>
  <c r="G42" i="5" s="1"/>
  <c r="G15" i="5"/>
  <c r="G15" i="6"/>
  <c r="D37" i="6"/>
  <c r="D25" i="6"/>
  <c r="D11" i="6"/>
  <c r="F15" i="7" l="1"/>
  <c r="F14" i="7"/>
  <c r="H20" i="7"/>
  <c r="F64" i="7"/>
  <c r="F25" i="36" l="1"/>
  <c r="F37" i="7"/>
  <c r="L72" i="7"/>
  <c r="K72" i="7"/>
  <c r="L71" i="7"/>
  <c r="K71" i="7"/>
  <c r="L70" i="7"/>
  <c r="K70" i="7"/>
  <c r="L69" i="7"/>
  <c r="K69" i="7"/>
  <c r="L65" i="7"/>
  <c r="K65" i="7"/>
  <c r="L63" i="7"/>
  <c r="K63" i="7"/>
  <c r="L62" i="7"/>
  <c r="K62" i="7"/>
  <c r="L59" i="7"/>
  <c r="K59" i="7"/>
  <c r="L58" i="7"/>
  <c r="K58" i="7"/>
  <c r="L57" i="7"/>
  <c r="K57" i="7"/>
  <c r="L56" i="7"/>
  <c r="K56" i="7"/>
  <c r="L49" i="7"/>
  <c r="K49" i="7"/>
  <c r="L48" i="7"/>
  <c r="K48" i="7"/>
  <c r="L47" i="7"/>
  <c r="K47" i="7"/>
  <c r="L45" i="7"/>
  <c r="K45" i="7"/>
  <c r="L44" i="7"/>
  <c r="L42" i="7"/>
  <c r="K42" i="7"/>
  <c r="L41" i="7"/>
  <c r="K41" i="7"/>
  <c r="L40" i="7"/>
  <c r="K40" i="7"/>
  <c r="L33" i="7"/>
  <c r="K33" i="7"/>
  <c r="L23" i="7"/>
  <c r="K23" i="7"/>
  <c r="L22" i="7"/>
  <c r="K22" i="7"/>
  <c r="L21" i="7"/>
  <c r="K21" i="7"/>
  <c r="L20" i="7"/>
  <c r="K20" i="7"/>
  <c r="E9" i="7"/>
  <c r="D30" i="5"/>
  <c r="G8" i="5" s="1"/>
  <c r="D29" i="5"/>
  <c r="G34" i="5" l="1"/>
  <c r="G21" i="5"/>
  <c r="G7" i="5"/>
  <c r="G22" i="5"/>
  <c r="G35" i="5"/>
  <c r="F28" i="36"/>
  <c r="F21" i="36"/>
  <c r="F31" i="7"/>
  <c r="F32" i="7" s="1"/>
  <c r="F18" i="7"/>
  <c r="F19" i="7" s="1"/>
  <c r="E9" i="18"/>
  <c r="D6" i="5"/>
  <c r="D28" i="5"/>
  <c r="D7" i="5"/>
  <c r="D14" i="5"/>
  <c r="F60" i="7"/>
  <c r="F61" i="7"/>
  <c r="F7" i="7"/>
  <c r="K7" i="7" l="1"/>
  <c r="F9" i="7"/>
  <c r="L60" i="7"/>
  <c r="K60" i="7"/>
  <c r="L61" i="7"/>
  <c r="K61" i="7"/>
  <c r="F4" i="36"/>
  <c r="F5" i="36"/>
  <c r="F7" i="36"/>
  <c r="F8" i="36"/>
  <c r="F9" i="36"/>
  <c r="F11" i="36"/>
  <c r="F12" i="36"/>
  <c r="F13" i="36"/>
  <c r="F3" i="36"/>
  <c r="D22" i="37" l="1"/>
  <c r="D23" i="37"/>
  <c r="D24" i="37"/>
  <c r="D25" i="37"/>
  <c r="D26" i="37"/>
  <c r="D27" i="37"/>
  <c r="D28" i="37"/>
  <c r="D19" i="37"/>
  <c r="D20" i="37"/>
  <c r="D21" i="37"/>
  <c r="D18" i="37"/>
  <c r="D19" i="36"/>
  <c r="D20" i="36"/>
  <c r="D21" i="36"/>
  <c r="D22" i="36"/>
  <c r="D23" i="36"/>
  <c r="D24" i="36"/>
  <c r="D25" i="36"/>
  <c r="D26" i="36"/>
  <c r="D27" i="36"/>
  <c r="D28" i="36"/>
  <c r="D18" i="36"/>
  <c r="F18" i="20"/>
  <c r="E16" i="20"/>
  <c r="E17" i="20"/>
  <c r="E18" i="20"/>
  <c r="E19" i="20"/>
  <c r="E20" i="20"/>
  <c r="E21" i="20"/>
  <c r="E22" i="20"/>
  <c r="E23" i="20"/>
  <c r="E24" i="20"/>
  <c r="E25" i="20"/>
  <c r="E26" i="20"/>
  <c r="E27" i="20"/>
  <c r="E28" i="20"/>
  <c r="E29" i="20"/>
  <c r="E30" i="20"/>
  <c r="E31" i="20"/>
  <c r="E32" i="20"/>
  <c r="E33" i="20"/>
  <c r="E34" i="20"/>
  <c r="E35" i="20"/>
  <c r="E36" i="20"/>
  <c r="E37" i="20"/>
  <c r="E38" i="20"/>
  <c r="E39" i="20"/>
  <c r="E40" i="20"/>
  <c r="E41" i="20"/>
  <c r="E42" i="20"/>
  <c r="E43" i="20"/>
  <c r="E44" i="20"/>
  <c r="E45" i="20"/>
  <c r="E46" i="20"/>
  <c r="F33" i="18"/>
  <c r="F34" i="18"/>
  <c r="F35" i="18"/>
  <c r="F36" i="18"/>
  <c r="F37" i="18"/>
  <c r="F38" i="18"/>
  <c r="F39" i="18"/>
  <c r="F40" i="18"/>
  <c r="E33" i="18"/>
  <c r="E34" i="18"/>
  <c r="E35" i="18"/>
  <c r="E36" i="18"/>
  <c r="E37" i="18"/>
  <c r="E38" i="18"/>
  <c r="E39" i="18"/>
  <c r="E40" i="18"/>
  <c r="E41" i="18"/>
  <c r="E42" i="18"/>
  <c r="E43" i="18"/>
  <c r="F41" i="18"/>
  <c r="F42" i="18"/>
  <c r="F43" i="18"/>
  <c r="F21" i="18"/>
  <c r="F22" i="18"/>
  <c r="F23" i="18"/>
  <c r="F24" i="18"/>
  <c r="F25" i="18"/>
  <c r="F26" i="18"/>
  <c r="F27" i="18"/>
  <c r="F28" i="18"/>
  <c r="F29" i="18"/>
  <c r="F30" i="18"/>
  <c r="F31" i="18"/>
  <c r="F32" i="18"/>
  <c r="E21" i="18"/>
  <c r="E22" i="18"/>
  <c r="E23" i="18"/>
  <c r="E24" i="18"/>
  <c r="E25" i="18"/>
  <c r="E26" i="18"/>
  <c r="E27" i="18"/>
  <c r="E28" i="18"/>
  <c r="E29" i="18"/>
  <c r="E30" i="18"/>
  <c r="E31" i="18"/>
  <c r="E32" i="18"/>
  <c r="G27" i="18" l="1"/>
  <c r="G23" i="18"/>
  <c r="G22" i="18"/>
  <c r="G31" i="18"/>
  <c r="G30" i="18"/>
  <c r="G24" i="18"/>
  <c r="G26" i="18"/>
  <c r="G35" i="18"/>
  <c r="G34" i="18"/>
  <c r="G40" i="18"/>
  <c r="G36" i="18"/>
  <c r="G38" i="18"/>
  <c r="G42" i="18"/>
  <c r="G39" i="18"/>
  <c r="G33" i="18"/>
  <c r="G37" i="18"/>
  <c r="G32" i="18"/>
  <c r="G28" i="18"/>
  <c r="F40" i="20"/>
  <c r="G40" i="20" s="1"/>
  <c r="G41" i="18"/>
  <c r="F45" i="20"/>
  <c r="G45" i="20" s="1"/>
  <c r="F37" i="20"/>
  <c r="G37" i="20" s="1"/>
  <c r="F32" i="20"/>
  <c r="G32" i="20" s="1"/>
  <c r="F29" i="20"/>
  <c r="G29" i="20" s="1"/>
  <c r="F24" i="20"/>
  <c r="G24" i="20" s="1"/>
  <c r="F21" i="20"/>
  <c r="G21" i="20" s="1"/>
  <c r="F16" i="20"/>
  <c r="G16" i="20" s="1"/>
  <c r="G43" i="18"/>
  <c r="F44" i="20"/>
  <c r="G44" i="20" s="1"/>
  <c r="F36" i="20"/>
  <c r="G36" i="20" s="1"/>
  <c r="F28" i="20"/>
  <c r="G28" i="20" s="1"/>
  <c r="F20" i="20"/>
  <c r="G20" i="20" s="1"/>
  <c r="F41" i="20"/>
  <c r="G41" i="20" s="1"/>
  <c r="F33" i="20"/>
  <c r="G33" i="20" s="1"/>
  <c r="F25" i="20"/>
  <c r="G25" i="20" s="1"/>
  <c r="F17" i="20"/>
  <c r="G17" i="20" s="1"/>
  <c r="F47" i="20"/>
  <c r="F43" i="20"/>
  <c r="G43" i="20" s="1"/>
  <c r="F39" i="20"/>
  <c r="G39" i="20" s="1"/>
  <c r="F35" i="20"/>
  <c r="G35" i="20" s="1"/>
  <c r="F31" i="20"/>
  <c r="G31" i="20" s="1"/>
  <c r="F27" i="20"/>
  <c r="G27" i="20" s="1"/>
  <c r="F23" i="20"/>
  <c r="G23" i="20" s="1"/>
  <c r="F19" i="20"/>
  <c r="G19" i="20" s="1"/>
  <c r="G18" i="20"/>
  <c r="F46" i="20"/>
  <c r="F42" i="20"/>
  <c r="G42" i="20" s="1"/>
  <c r="F38" i="20"/>
  <c r="G38" i="20" s="1"/>
  <c r="F34" i="20"/>
  <c r="G34" i="20" s="1"/>
  <c r="F30" i="20"/>
  <c r="G30" i="20" s="1"/>
  <c r="F26" i="20"/>
  <c r="G26" i="20" s="1"/>
  <c r="F22" i="20"/>
  <c r="G22" i="20" s="1"/>
  <c r="G29" i="18"/>
  <c r="G21" i="18"/>
  <c r="G25" i="18"/>
  <c r="J39" i="7"/>
  <c r="L39" i="7" s="1"/>
  <c r="D25" i="5" l="1"/>
  <c r="K28" i="37"/>
  <c r="M28" i="37" s="1"/>
  <c r="K27" i="37"/>
  <c r="M27" i="37" s="1"/>
  <c r="F27" i="37"/>
  <c r="K26" i="37"/>
  <c r="M26" i="37" s="1"/>
  <c r="F26" i="37"/>
  <c r="K25" i="37"/>
  <c r="M25" i="37" s="1"/>
  <c r="F25" i="37"/>
  <c r="K24" i="37"/>
  <c r="M24" i="37" s="1"/>
  <c r="F24" i="37"/>
  <c r="K23" i="37"/>
  <c r="M23" i="37" s="1"/>
  <c r="F23" i="37"/>
  <c r="K22" i="37"/>
  <c r="M22" i="37" s="1"/>
  <c r="L21" i="37"/>
  <c r="K21" i="37"/>
  <c r="K20" i="37"/>
  <c r="L19" i="37"/>
  <c r="L20" i="37" s="1"/>
  <c r="K19" i="37"/>
  <c r="L18" i="37"/>
  <c r="K18" i="37"/>
  <c r="F14" i="37"/>
  <c r="M13" i="37"/>
  <c r="J28" i="37" s="1"/>
  <c r="L13" i="37"/>
  <c r="I28" i="37" s="1"/>
  <c r="H13" i="37"/>
  <c r="I13" i="37" s="1"/>
  <c r="K13" i="37" s="1"/>
  <c r="M12" i="37"/>
  <c r="L12" i="37"/>
  <c r="H12" i="37"/>
  <c r="I12" i="37" s="1"/>
  <c r="K12" i="37" s="1"/>
  <c r="M11" i="37"/>
  <c r="J26" i="37" s="1"/>
  <c r="L11" i="37"/>
  <c r="H11" i="37"/>
  <c r="I11" i="37" s="1"/>
  <c r="K11" i="37" s="1"/>
  <c r="M10" i="37"/>
  <c r="L10" i="37"/>
  <c r="I25" i="37" s="1"/>
  <c r="H10" i="37"/>
  <c r="I10" i="37" s="1"/>
  <c r="K10" i="37" s="1"/>
  <c r="M9" i="37"/>
  <c r="J24" i="37" s="1"/>
  <c r="L9" i="37"/>
  <c r="I24" i="37" s="1"/>
  <c r="H9" i="37"/>
  <c r="I9" i="37" s="1"/>
  <c r="K9" i="37" s="1"/>
  <c r="M8" i="37"/>
  <c r="L8" i="37"/>
  <c r="H8" i="37"/>
  <c r="I8" i="37" s="1"/>
  <c r="K8" i="37" s="1"/>
  <c r="M7" i="37"/>
  <c r="J22" i="37" s="1"/>
  <c r="L7" i="37"/>
  <c r="I22" i="37" s="1"/>
  <c r="H7" i="37"/>
  <c r="I7" i="37" s="1"/>
  <c r="K7" i="37" s="1"/>
  <c r="M6" i="37"/>
  <c r="J21" i="37" s="1"/>
  <c r="L6" i="37"/>
  <c r="I21" i="37" s="1"/>
  <c r="I6" i="37"/>
  <c r="K6" i="37" s="1"/>
  <c r="H21" i="37" s="1"/>
  <c r="J55" i="8" s="1"/>
  <c r="M5" i="37"/>
  <c r="J20" i="37" s="1"/>
  <c r="L5" i="37"/>
  <c r="I20" i="37" s="1"/>
  <c r="H5" i="37"/>
  <c r="I5" i="37" s="1"/>
  <c r="K5" i="37" s="1"/>
  <c r="M4" i="37"/>
  <c r="J19" i="37" s="1"/>
  <c r="L4" i="37"/>
  <c r="I19" i="37" s="1"/>
  <c r="H4" i="37"/>
  <c r="I4" i="37" s="1"/>
  <c r="K4" i="37" s="1"/>
  <c r="M3" i="37"/>
  <c r="J18" i="37" s="1"/>
  <c r="L3" i="37"/>
  <c r="I18" i="37" s="1"/>
  <c r="H3" i="37"/>
  <c r="I3" i="37" s="1"/>
  <c r="K3" i="37" s="1"/>
  <c r="I26" i="37" l="1"/>
  <c r="J27" i="37"/>
  <c r="J25" i="37"/>
  <c r="I23" i="37"/>
  <c r="I31" i="8" s="1"/>
  <c r="I27" i="37"/>
  <c r="I11" i="8" s="1"/>
  <c r="J23" i="37"/>
  <c r="M20" i="37"/>
  <c r="I30" i="8" s="1"/>
  <c r="I58" i="8" s="1"/>
  <c r="M18" i="37"/>
  <c r="I8" i="8" s="1"/>
  <c r="M21" i="37"/>
  <c r="I55" i="8" s="1"/>
  <c r="I15" i="8"/>
  <c r="I19" i="8"/>
  <c r="I9" i="8"/>
  <c r="I36" i="8"/>
  <c r="I38" i="8" s="1"/>
  <c r="H22" i="37"/>
  <c r="N7" i="37"/>
  <c r="H24" i="37"/>
  <c r="N9" i="37"/>
  <c r="H26" i="37"/>
  <c r="N11" i="37"/>
  <c r="H28" i="37"/>
  <c r="N28" i="37" s="1"/>
  <c r="N13" i="37"/>
  <c r="N3" i="37"/>
  <c r="H18" i="37"/>
  <c r="K14" i="37"/>
  <c r="H19" i="37"/>
  <c r="N4" i="37"/>
  <c r="N5" i="37"/>
  <c r="H20" i="37"/>
  <c r="N21" i="37"/>
  <c r="H23" i="37"/>
  <c r="N8" i="37"/>
  <c r="H25" i="37"/>
  <c r="N10" i="37"/>
  <c r="H27" i="37"/>
  <c r="N12" i="37"/>
  <c r="N6" i="37"/>
  <c r="M19" i="37"/>
  <c r="I14" i="8" s="1"/>
  <c r="N19" i="37" l="1"/>
  <c r="J14" i="8"/>
  <c r="N18" i="37"/>
  <c r="J8" i="8"/>
  <c r="I18" i="8"/>
  <c r="I25" i="8" s="1"/>
  <c r="I10" i="8"/>
  <c r="N27" i="37"/>
  <c r="J11" i="8"/>
  <c r="N25" i="37"/>
  <c r="J9" i="8"/>
  <c r="N23" i="37"/>
  <c r="J31" i="8"/>
  <c r="N20" i="37"/>
  <c r="J30" i="8"/>
  <c r="J58" i="8" s="1"/>
  <c r="N26" i="37"/>
  <c r="J36" i="8"/>
  <c r="N24" i="37"/>
  <c r="J15" i="8"/>
  <c r="N22" i="37"/>
  <c r="J19" i="8"/>
  <c r="J26" i="8" s="1"/>
  <c r="N14" i="37"/>
  <c r="N29" i="37" l="1"/>
  <c r="J18" i="8"/>
  <c r="J10" i="8"/>
  <c r="L21" i="36"/>
  <c r="H11" i="36"/>
  <c r="I11" i="36" s="1"/>
  <c r="K11" i="36" s="1"/>
  <c r="K28" i="36"/>
  <c r="M28" i="36" s="1"/>
  <c r="K27" i="36"/>
  <c r="M27" i="36" s="1"/>
  <c r="F27" i="36"/>
  <c r="K26" i="36"/>
  <c r="M26" i="36" s="1"/>
  <c r="F26" i="36"/>
  <c r="K25" i="36"/>
  <c r="M25" i="36" s="1"/>
  <c r="K24" i="36"/>
  <c r="M24" i="36" s="1"/>
  <c r="F24" i="36"/>
  <c r="K23" i="36"/>
  <c r="M23" i="36" s="1"/>
  <c r="F23" i="36"/>
  <c r="K22" i="36"/>
  <c r="M22" i="36" s="1"/>
  <c r="F22" i="36"/>
  <c r="K21" i="36"/>
  <c r="L20" i="36"/>
  <c r="K20" i="36"/>
  <c r="F20" i="36"/>
  <c r="L19" i="36"/>
  <c r="K19" i="36"/>
  <c r="F19" i="36"/>
  <c r="L18" i="36"/>
  <c r="K18" i="36"/>
  <c r="F18" i="36"/>
  <c r="F14" i="36"/>
  <c r="M13" i="36"/>
  <c r="J28" i="36" s="1"/>
  <c r="L13" i="36"/>
  <c r="I28" i="36" s="1"/>
  <c r="H13" i="36"/>
  <c r="I13" i="36" s="1"/>
  <c r="K13" i="36" s="1"/>
  <c r="M12" i="36"/>
  <c r="L12" i="36"/>
  <c r="H12" i="36"/>
  <c r="I12" i="36" s="1"/>
  <c r="K12" i="36" s="1"/>
  <c r="M11" i="36"/>
  <c r="J26" i="36" s="1"/>
  <c r="L11" i="36"/>
  <c r="M10" i="36"/>
  <c r="J25" i="36" s="1"/>
  <c r="L10" i="36"/>
  <c r="H10" i="36"/>
  <c r="I10" i="36" s="1"/>
  <c r="K10" i="36" s="1"/>
  <c r="M9" i="36"/>
  <c r="L9" i="36"/>
  <c r="H9" i="36"/>
  <c r="M8" i="36"/>
  <c r="L8" i="36"/>
  <c r="H8" i="36"/>
  <c r="I8" i="36" s="1"/>
  <c r="K8" i="36" s="1"/>
  <c r="M7" i="36"/>
  <c r="L7" i="36"/>
  <c r="I22" i="36" s="1"/>
  <c r="H7" i="36"/>
  <c r="I7" i="36" s="1"/>
  <c r="K7" i="36" s="1"/>
  <c r="M6" i="36"/>
  <c r="L6" i="36"/>
  <c r="I6" i="36"/>
  <c r="K6" i="36" s="1"/>
  <c r="M5" i="36"/>
  <c r="L5" i="36"/>
  <c r="I20" i="36" s="1"/>
  <c r="H5" i="36"/>
  <c r="I5" i="36" s="1"/>
  <c r="K5" i="36" s="1"/>
  <c r="M4" i="36"/>
  <c r="L4" i="36"/>
  <c r="H4" i="36"/>
  <c r="I4" i="36" s="1"/>
  <c r="K4" i="36" s="1"/>
  <c r="M3" i="36"/>
  <c r="L3" i="36"/>
  <c r="I18" i="36" s="1"/>
  <c r="H3" i="36"/>
  <c r="J19" i="36" l="1"/>
  <c r="I26" i="36"/>
  <c r="I37" i="7" s="1"/>
  <c r="J23" i="36"/>
  <c r="J18" i="36"/>
  <c r="I24" i="36"/>
  <c r="I15" i="7" s="1"/>
  <c r="K15" i="7" s="1"/>
  <c r="I27" i="36"/>
  <c r="J20" i="36"/>
  <c r="J27" i="36"/>
  <c r="I11" i="7"/>
  <c r="K11" i="7" s="1"/>
  <c r="N6" i="36"/>
  <c r="N10" i="36"/>
  <c r="I3" i="36"/>
  <c r="K3" i="36" s="1"/>
  <c r="I19" i="36"/>
  <c r="I23" i="36"/>
  <c r="I32" i="7" s="1"/>
  <c r="K32" i="7" s="1"/>
  <c r="J24" i="36"/>
  <c r="M21" i="36"/>
  <c r="J22" i="36"/>
  <c r="I25" i="36"/>
  <c r="M19" i="36"/>
  <c r="M18" i="36"/>
  <c r="I8" i="7" s="1"/>
  <c r="M20" i="36"/>
  <c r="I31" i="7" s="1"/>
  <c r="K31" i="7" s="1"/>
  <c r="I9" i="36"/>
  <c r="K9" i="36" s="1"/>
  <c r="I19" i="7"/>
  <c r="I27" i="7" s="1"/>
  <c r="K27" i="7" s="1"/>
  <c r="N7" i="36"/>
  <c r="H22" i="36"/>
  <c r="H28" i="36"/>
  <c r="N28" i="36" s="1"/>
  <c r="N13" i="36"/>
  <c r="H19" i="36"/>
  <c r="N4" i="36"/>
  <c r="N5" i="36"/>
  <c r="H20" i="36"/>
  <c r="H23" i="36"/>
  <c r="N8" i="36"/>
  <c r="H25" i="36"/>
  <c r="H27" i="36"/>
  <c r="N12" i="36"/>
  <c r="N11" i="36"/>
  <c r="H26" i="36"/>
  <c r="E68" i="35"/>
  <c r="C68" i="35"/>
  <c r="E67" i="35"/>
  <c r="C67" i="35"/>
  <c r="E66" i="35"/>
  <c r="C66" i="35"/>
  <c r="E65" i="35"/>
  <c r="C65" i="35"/>
  <c r="E64" i="35"/>
  <c r="C64" i="35"/>
  <c r="E63" i="35"/>
  <c r="C63" i="35"/>
  <c r="E62" i="35"/>
  <c r="C62" i="35"/>
  <c r="E61" i="35"/>
  <c r="C61" i="35"/>
  <c r="E60" i="35"/>
  <c r="C60" i="35"/>
  <c r="E59" i="35"/>
  <c r="C59" i="35"/>
  <c r="E58" i="35"/>
  <c r="C58" i="35"/>
  <c r="E57" i="35"/>
  <c r="C57" i="35"/>
  <c r="E56" i="35"/>
  <c r="C56" i="35"/>
  <c r="E55" i="35"/>
  <c r="C55" i="35"/>
  <c r="E54" i="35"/>
  <c r="C54" i="35"/>
  <c r="E53" i="35"/>
  <c r="C53" i="35"/>
  <c r="E52" i="35"/>
  <c r="C52" i="35"/>
  <c r="E51" i="35"/>
  <c r="C51" i="35"/>
  <c r="E50" i="35"/>
  <c r="C50" i="35"/>
  <c r="E49" i="35"/>
  <c r="C49" i="35"/>
  <c r="E48" i="35"/>
  <c r="C48" i="35"/>
  <c r="E47" i="35"/>
  <c r="C47" i="35"/>
  <c r="E46" i="35"/>
  <c r="C46" i="35"/>
  <c r="E45" i="35"/>
  <c r="C45" i="35"/>
  <c r="E44" i="35"/>
  <c r="C44" i="35"/>
  <c r="E43" i="35"/>
  <c r="C43" i="35"/>
  <c r="E42" i="35"/>
  <c r="C42" i="35"/>
  <c r="E41" i="35"/>
  <c r="C41" i="35"/>
  <c r="E40" i="35"/>
  <c r="C40" i="35"/>
  <c r="E39" i="35"/>
  <c r="C39" i="35"/>
  <c r="E38" i="35"/>
  <c r="C38" i="35"/>
  <c r="E37" i="35"/>
  <c r="C37" i="35"/>
  <c r="E36" i="35"/>
  <c r="C36" i="35"/>
  <c r="E35" i="35"/>
  <c r="C35" i="35"/>
  <c r="E34" i="35"/>
  <c r="C34" i="35"/>
  <c r="E33" i="35"/>
  <c r="C33" i="35"/>
  <c r="E32" i="35"/>
  <c r="C32" i="35"/>
  <c r="E31" i="35"/>
  <c r="C31" i="35"/>
  <c r="E30" i="35"/>
  <c r="C30" i="35"/>
  <c r="E29" i="35"/>
  <c r="C29" i="35"/>
  <c r="E28" i="35"/>
  <c r="C28" i="35"/>
  <c r="E27" i="35"/>
  <c r="C27" i="35"/>
  <c r="E26" i="35"/>
  <c r="C26" i="35"/>
  <c r="E25" i="35"/>
  <c r="C25" i="35"/>
  <c r="D25" i="35" s="1"/>
  <c r="E24" i="35"/>
  <c r="C24" i="35"/>
  <c r="E23" i="35"/>
  <c r="C23" i="35"/>
  <c r="E22" i="35"/>
  <c r="C22" i="35"/>
  <c r="E21" i="35"/>
  <c r="C21" i="35"/>
  <c r="E20" i="35"/>
  <c r="C20" i="35"/>
  <c r="E19" i="35"/>
  <c r="C19" i="35"/>
  <c r="E18" i="35"/>
  <c r="C18" i="35"/>
  <c r="E17" i="35"/>
  <c r="C17" i="35"/>
  <c r="E16" i="35"/>
  <c r="C16" i="35"/>
  <c r="E15" i="35"/>
  <c r="C15" i="35"/>
  <c r="E14" i="35"/>
  <c r="C14" i="35"/>
  <c r="E13" i="35"/>
  <c r="C13" i="35"/>
  <c r="E12" i="35"/>
  <c r="C12" i="35"/>
  <c r="E11" i="35"/>
  <c r="C11" i="35"/>
  <c r="E10" i="35"/>
  <c r="C10" i="35"/>
  <c r="E9" i="35"/>
  <c r="C9" i="35"/>
  <c r="K62" i="8"/>
  <c r="K61" i="8"/>
  <c r="K60" i="8"/>
  <c r="I20" i="35" l="1"/>
  <c r="I9" i="7"/>
  <c r="K9" i="7" s="1"/>
  <c r="K19" i="7"/>
  <c r="I32" i="35"/>
  <c r="D29" i="35"/>
  <c r="D45" i="35"/>
  <c r="D49" i="35"/>
  <c r="D26" i="35"/>
  <c r="D27" i="35"/>
  <c r="I10" i="7"/>
  <c r="K8" i="7"/>
  <c r="I39" i="7"/>
  <c r="K37" i="7"/>
  <c r="I14" i="7"/>
  <c r="N3" i="36"/>
  <c r="H18" i="36"/>
  <c r="N18" i="36" s="1"/>
  <c r="D51" i="35"/>
  <c r="D53" i="35"/>
  <c r="D9" i="35"/>
  <c r="D21" i="35"/>
  <c r="D50" i="35"/>
  <c r="H24" i="36"/>
  <c r="N9" i="36"/>
  <c r="N14" i="36" s="1"/>
  <c r="K14" i="36"/>
  <c r="N27" i="36"/>
  <c r="J11" i="7"/>
  <c r="L11" i="7" s="1"/>
  <c r="N20" i="36"/>
  <c r="J31" i="7"/>
  <c r="I68" i="7"/>
  <c r="K68" i="7" s="1"/>
  <c r="I66" i="7"/>
  <c r="K66" i="7" s="1"/>
  <c r="N26" i="36"/>
  <c r="J37" i="7"/>
  <c r="L37" i="7" s="1"/>
  <c r="N25" i="36"/>
  <c r="J9" i="7"/>
  <c r="L9" i="7" s="1"/>
  <c r="N23" i="36"/>
  <c r="J32" i="7"/>
  <c r="L32" i="7" s="1"/>
  <c r="N19" i="36"/>
  <c r="J14" i="7"/>
  <c r="N22" i="36"/>
  <c r="J19" i="7"/>
  <c r="J27" i="7" s="1"/>
  <c r="L27" i="7" s="1"/>
  <c r="D46" i="35"/>
  <c r="D47" i="35"/>
  <c r="D54" i="35"/>
  <c r="D55" i="35"/>
  <c r="F9" i="35"/>
  <c r="F54" i="35"/>
  <c r="D22" i="35"/>
  <c r="D23" i="35"/>
  <c r="D30" i="35"/>
  <c r="D31" i="35"/>
  <c r="D24" i="35"/>
  <c r="D28" i="35"/>
  <c r="D32" i="35"/>
  <c r="D48" i="35"/>
  <c r="D52" i="35"/>
  <c r="D56" i="35"/>
  <c r="D33" i="35"/>
  <c r="D34" i="35"/>
  <c r="D35" i="35"/>
  <c r="D36" i="35"/>
  <c r="D37" i="35"/>
  <c r="D38" i="35"/>
  <c r="D39" i="35"/>
  <c r="D40" i="35"/>
  <c r="D41" i="35"/>
  <c r="D42" i="35"/>
  <c r="D43" i="35"/>
  <c r="D44" i="35"/>
  <c r="D57" i="35"/>
  <c r="D58" i="35"/>
  <c r="D59" i="35"/>
  <c r="D60" i="35"/>
  <c r="D61" i="35"/>
  <c r="D62" i="35"/>
  <c r="D63" i="35"/>
  <c r="D64" i="35"/>
  <c r="D65" i="35"/>
  <c r="D66" i="35"/>
  <c r="D67" i="35"/>
  <c r="D68" i="35"/>
  <c r="F68" i="35"/>
  <c r="D10" i="35"/>
  <c r="D11" i="35"/>
  <c r="D12" i="35"/>
  <c r="D13" i="35"/>
  <c r="D14" i="35"/>
  <c r="D15" i="35"/>
  <c r="D16" i="35"/>
  <c r="D17" i="35"/>
  <c r="D18" i="35"/>
  <c r="D19" i="35"/>
  <c r="D20" i="35"/>
  <c r="F45" i="35"/>
  <c r="F46" i="35"/>
  <c r="F47" i="35"/>
  <c r="F48" i="35"/>
  <c r="F49" i="35"/>
  <c r="F50" i="35"/>
  <c r="F51" i="35"/>
  <c r="F52" i="35"/>
  <c r="F53" i="35"/>
  <c r="E71" i="35"/>
  <c r="F56" i="35"/>
  <c r="F55" i="35"/>
  <c r="F21" i="35"/>
  <c r="F22" i="35"/>
  <c r="F23" i="35"/>
  <c r="F24" i="35"/>
  <c r="F25" i="35"/>
  <c r="F26" i="35"/>
  <c r="F27" i="35"/>
  <c r="F28" i="35"/>
  <c r="F29" i="35"/>
  <c r="F30" i="35"/>
  <c r="F31" i="35"/>
  <c r="F32" i="35"/>
  <c r="F10" i="35"/>
  <c r="F11" i="35"/>
  <c r="F12" i="35"/>
  <c r="F13" i="35"/>
  <c r="F14" i="35"/>
  <c r="F15" i="35"/>
  <c r="F16" i="35"/>
  <c r="F17" i="35"/>
  <c r="F18" i="35"/>
  <c r="F19" i="35"/>
  <c r="F20" i="35"/>
  <c r="F33" i="35"/>
  <c r="F34" i="35"/>
  <c r="F35" i="35"/>
  <c r="F36" i="35"/>
  <c r="F37" i="35"/>
  <c r="F38" i="35"/>
  <c r="F39" i="35"/>
  <c r="F40" i="35"/>
  <c r="F41" i="35"/>
  <c r="F42" i="35"/>
  <c r="F43" i="35"/>
  <c r="F44" i="35"/>
  <c r="F57" i="35"/>
  <c r="F58" i="35"/>
  <c r="F59" i="35"/>
  <c r="F60" i="35"/>
  <c r="F61" i="35"/>
  <c r="F62" i="35"/>
  <c r="F63" i="35"/>
  <c r="F64" i="35"/>
  <c r="F65" i="35"/>
  <c r="F66" i="35"/>
  <c r="F67" i="35"/>
  <c r="L19" i="7" l="1"/>
  <c r="J36" i="7"/>
  <c r="L14" i="7"/>
  <c r="J68" i="7"/>
  <c r="L68" i="7" s="1"/>
  <c r="L31" i="7"/>
  <c r="I44" i="7"/>
  <c r="K44" i="7" s="1"/>
  <c r="K39" i="7"/>
  <c r="I36" i="7"/>
  <c r="K14" i="7"/>
  <c r="I18" i="7"/>
  <c r="I26" i="7" s="1"/>
  <c r="K26" i="7" s="1"/>
  <c r="K29" i="7" s="1"/>
  <c r="K10" i="7"/>
  <c r="J8" i="7"/>
  <c r="H32" i="35"/>
  <c r="J32" i="35" s="1"/>
  <c r="H20" i="35"/>
  <c r="J20" i="35" s="1"/>
  <c r="N24" i="36"/>
  <c r="J15" i="7"/>
  <c r="L15" i="7" s="1"/>
  <c r="D71" i="35"/>
  <c r="F71" i="35" s="1"/>
  <c r="J10" i="7" l="1"/>
  <c r="L8" i="7"/>
  <c r="I38" i="7"/>
  <c r="K36" i="7"/>
  <c r="K18" i="7"/>
  <c r="J38" i="7"/>
  <c r="L36" i="7"/>
  <c r="U4" i="20"/>
  <c r="J43" i="7" l="1"/>
  <c r="L38" i="7"/>
  <c r="I43" i="7"/>
  <c r="K38" i="7"/>
  <c r="I54" i="7"/>
  <c r="K54" i="7" s="1"/>
  <c r="J18" i="7"/>
  <c r="J26" i="7" s="1"/>
  <c r="L26" i="7" s="1"/>
  <c r="L29" i="7" s="1"/>
  <c r="L10" i="7"/>
  <c r="A8" i="2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L18" i="7" l="1"/>
  <c r="L24" i="7" s="1"/>
  <c r="I67" i="7"/>
  <c r="K67" i="7" s="1"/>
  <c r="K43" i="7"/>
  <c r="J67" i="7"/>
  <c r="L67" i="7" s="1"/>
  <c r="L43" i="7"/>
  <c r="L30" i="8"/>
  <c r="D10" i="5"/>
  <c r="J54" i="7" l="1"/>
  <c r="L54" i="7" s="1"/>
  <c r="J66" i="7"/>
  <c r="L66" i="7" s="1"/>
  <c r="Q11" i="32"/>
  <c r="Q9" i="32"/>
  <c r="H63" i="32"/>
  <c r="C56" i="32"/>
  <c r="I56" i="32" s="1"/>
  <c r="C55" i="32"/>
  <c r="I55" i="32" s="1"/>
  <c r="C54" i="32"/>
  <c r="I54" i="32" s="1"/>
  <c r="E42" i="32"/>
  <c r="E39" i="32"/>
  <c r="E38" i="32"/>
  <c r="H38" i="32" s="1"/>
  <c r="Q8" i="32"/>
  <c r="Q7" i="32"/>
  <c r="I6" i="32"/>
  <c r="Q6" i="32"/>
  <c r="H39" i="32"/>
  <c r="C10" i="32"/>
  <c r="C9" i="32"/>
  <c r="H9" i="32" s="1"/>
  <c r="Q5" i="32"/>
  <c r="H42" i="32"/>
  <c r="I61" i="32"/>
  <c r="I60" i="32"/>
  <c r="I59" i="32"/>
  <c r="I58" i="32"/>
  <c r="H58" i="32"/>
  <c r="I57" i="32"/>
  <c r="I53" i="32"/>
  <c r="H53" i="32"/>
  <c r="I46" i="32"/>
  <c r="H46" i="32"/>
  <c r="H45" i="32"/>
  <c r="H44" i="32"/>
  <c r="I42" i="32"/>
  <c r="C41" i="32"/>
  <c r="C40" i="32"/>
  <c r="I39" i="32"/>
  <c r="I38" i="32"/>
  <c r="G37" i="32"/>
  <c r="G41" i="32" s="1"/>
  <c r="F37" i="32"/>
  <c r="F41" i="32" s="1"/>
  <c r="C37" i="32"/>
  <c r="H37" i="32" s="1"/>
  <c r="C36" i="32"/>
  <c r="C35" i="32"/>
  <c r="I35" i="32" s="1"/>
  <c r="G34" i="32"/>
  <c r="G36" i="32" s="1"/>
  <c r="G40" i="32" s="1"/>
  <c r="I40" i="32" s="1"/>
  <c r="F34" i="32"/>
  <c r="F40" i="32" s="1"/>
  <c r="C34" i="32"/>
  <c r="I31" i="32"/>
  <c r="H31" i="32"/>
  <c r="I30" i="32"/>
  <c r="H30" i="32"/>
  <c r="I29" i="32"/>
  <c r="D29" i="32"/>
  <c r="D36" i="32" s="1"/>
  <c r="D40" i="32" s="1"/>
  <c r="D51" i="32" s="1"/>
  <c r="I26" i="32"/>
  <c r="E26" i="32"/>
  <c r="H26" i="32" s="1"/>
  <c r="G25" i="32"/>
  <c r="G52" i="32" s="1"/>
  <c r="I52" i="32" s="1"/>
  <c r="F25" i="32"/>
  <c r="F52" i="32" s="1"/>
  <c r="H52" i="32" s="1"/>
  <c r="C25" i="32"/>
  <c r="D24" i="32"/>
  <c r="D55" i="32" s="1"/>
  <c r="D56" i="32" s="1"/>
  <c r="D57" i="32" s="1"/>
  <c r="C24" i="32"/>
  <c r="I21" i="32"/>
  <c r="H21" i="32"/>
  <c r="I20" i="32"/>
  <c r="H20" i="32"/>
  <c r="I19" i="32"/>
  <c r="H19" i="32"/>
  <c r="I18" i="32"/>
  <c r="H18" i="32"/>
  <c r="G17" i="32"/>
  <c r="G24" i="32" s="1"/>
  <c r="G51" i="32" s="1"/>
  <c r="I51" i="32" s="1"/>
  <c r="F17" i="32"/>
  <c r="F24" i="32" s="1"/>
  <c r="F51" i="32" s="1"/>
  <c r="I14" i="32"/>
  <c r="H14" i="32"/>
  <c r="I13" i="32"/>
  <c r="D13" i="32"/>
  <c r="H13" i="32" s="1"/>
  <c r="H10" i="32"/>
  <c r="I8" i="32"/>
  <c r="H8" i="32"/>
  <c r="I7" i="32"/>
  <c r="H7" i="32"/>
  <c r="F6" i="32"/>
  <c r="H15" i="32" l="1"/>
  <c r="I15" i="32"/>
  <c r="H41" i="32"/>
  <c r="I11" i="32"/>
  <c r="I9" i="32"/>
  <c r="I32" i="32"/>
  <c r="H6" i="32"/>
  <c r="H11" i="32" s="1"/>
  <c r="I24" i="32"/>
  <c r="I27" i="32" s="1"/>
  <c r="H25" i="32"/>
  <c r="H35" i="32"/>
  <c r="F36" i="32"/>
  <c r="I62" i="32"/>
  <c r="I36" i="32"/>
  <c r="I41" i="32"/>
  <c r="D54" i="32"/>
  <c r="H54" i="32" s="1"/>
  <c r="H51" i="32"/>
  <c r="H40" i="32"/>
  <c r="I10" i="32"/>
  <c r="H17" i="32"/>
  <c r="H22" i="32" s="1"/>
  <c r="H24" i="32"/>
  <c r="H27" i="32" s="1"/>
  <c r="I25" i="32"/>
  <c r="D34" i="32"/>
  <c r="H34" i="32" s="1"/>
  <c r="I34" i="32"/>
  <c r="H36" i="32"/>
  <c r="I37" i="32"/>
  <c r="H55" i="32"/>
  <c r="H56" i="32"/>
  <c r="H57" i="32"/>
  <c r="I17" i="32"/>
  <c r="I22" i="32" s="1"/>
  <c r="H29" i="32"/>
  <c r="H32" i="32" s="1"/>
  <c r="D49" i="18"/>
  <c r="D50" i="18" s="1"/>
  <c r="D51" i="18" s="1"/>
  <c r="D52" i="18" s="1"/>
  <c r="D53" i="18" s="1"/>
  <c r="D54" i="18" s="1"/>
  <c r="D55" i="18" s="1"/>
  <c r="D56" i="18" s="1"/>
  <c r="H43" i="32" l="1"/>
  <c r="H48" i="32" s="1"/>
  <c r="I43" i="32"/>
  <c r="I48" i="32" s="1"/>
  <c r="I66" i="32" s="1"/>
  <c r="D12" i="27"/>
  <c r="E12" i="27"/>
  <c r="F12" i="27"/>
  <c r="G12" i="27"/>
  <c r="C12" i="27"/>
  <c r="D10" i="27"/>
  <c r="E10" i="27"/>
  <c r="F10" i="27"/>
  <c r="G10" i="27"/>
  <c r="C10" i="27"/>
  <c r="E6" i="27"/>
  <c r="F6" i="27"/>
  <c r="G6" i="27"/>
  <c r="D6" i="27"/>
  <c r="C6" i="27"/>
  <c r="G8" i="27" l="1"/>
  <c r="F8" i="27"/>
  <c r="D8" i="27"/>
  <c r="C8" i="27"/>
  <c r="E8" i="27"/>
  <c r="E15" i="20"/>
  <c r="D36" i="26" l="1"/>
  <c r="E35" i="26"/>
  <c r="D35" i="26"/>
  <c r="E34" i="26"/>
  <c r="D34" i="26"/>
  <c r="E33" i="26"/>
  <c r="D33" i="26"/>
  <c r="E32" i="26"/>
  <c r="D32" i="26"/>
  <c r="E31" i="26"/>
  <c r="D31" i="26"/>
  <c r="E30" i="26"/>
  <c r="D30" i="26"/>
  <c r="E29" i="26"/>
  <c r="D29" i="26"/>
  <c r="E28" i="26"/>
  <c r="D28" i="26"/>
  <c r="E27" i="26"/>
  <c r="D27" i="26"/>
  <c r="E26" i="26"/>
  <c r="D26" i="26"/>
  <c r="E25" i="26"/>
  <c r="D25" i="26"/>
  <c r="E24" i="26"/>
  <c r="D24" i="26"/>
  <c r="E23" i="26"/>
  <c r="D23" i="26"/>
  <c r="E22" i="26"/>
  <c r="D22" i="26"/>
  <c r="E21" i="26"/>
  <c r="D21" i="26"/>
  <c r="F21" i="26" s="1"/>
  <c r="E20" i="26"/>
  <c r="D20" i="26"/>
  <c r="E19" i="26"/>
  <c r="D19" i="26"/>
  <c r="F19" i="26" s="1"/>
  <c r="E18" i="26"/>
  <c r="D18" i="26"/>
  <c r="E17" i="26"/>
  <c r="D17" i="26"/>
  <c r="F17" i="26" s="1"/>
  <c r="E16" i="26"/>
  <c r="D16" i="26"/>
  <c r="E15" i="26"/>
  <c r="D15" i="26"/>
  <c r="F15" i="26" s="1"/>
  <c r="E14" i="26"/>
  <c r="D14" i="26"/>
  <c r="E13" i="26"/>
  <c r="D13" i="26"/>
  <c r="F13" i="26" s="1"/>
  <c r="E12" i="26"/>
  <c r="D12" i="26"/>
  <c r="E11" i="26"/>
  <c r="D11" i="26"/>
  <c r="F11" i="26" s="1"/>
  <c r="E10" i="26"/>
  <c r="D10" i="26"/>
  <c r="E9" i="26"/>
  <c r="D9" i="26"/>
  <c r="F9" i="26" s="1"/>
  <c r="E8" i="26"/>
  <c r="D8" i="26"/>
  <c r="V7" i="26"/>
  <c r="E7" i="26"/>
  <c r="D7" i="26"/>
  <c r="E6" i="26"/>
  <c r="D6" i="26"/>
  <c r="B6" i="26"/>
  <c r="B7" i="26" s="1"/>
  <c r="B8" i="26" s="1"/>
  <c r="B9" i="26" s="1"/>
  <c r="B10" i="26" s="1"/>
  <c r="B11" i="26" s="1"/>
  <c r="B12" i="26" s="1"/>
  <c r="B13" i="26" s="1"/>
  <c r="B14" i="26" s="1"/>
  <c r="B15" i="26" s="1"/>
  <c r="B16" i="26" s="1"/>
  <c r="B17" i="26" s="1"/>
  <c r="B18" i="26" s="1"/>
  <c r="B19" i="26" s="1"/>
  <c r="B20" i="26" s="1"/>
  <c r="B21" i="26" s="1"/>
  <c r="B22" i="26" s="1"/>
  <c r="B23" i="26" s="1"/>
  <c r="B24" i="26" s="1"/>
  <c r="O19" i="25"/>
  <c r="O18" i="25"/>
  <c r="O17" i="25"/>
  <c r="O16" i="25"/>
  <c r="O15" i="25"/>
  <c r="O14" i="25"/>
  <c r="O13" i="25"/>
  <c r="O12" i="25"/>
  <c r="O9" i="25"/>
  <c r="O8" i="25"/>
  <c r="O7" i="25"/>
  <c r="O6" i="25"/>
  <c r="O10" i="25"/>
  <c r="C64" i="25"/>
  <c r="C58" i="25"/>
  <c r="I58" i="25" s="1"/>
  <c r="C57" i="25"/>
  <c r="I57" i="25" s="1"/>
  <c r="C56" i="25"/>
  <c r="I56" i="25" s="1"/>
  <c r="C55" i="25"/>
  <c r="C54" i="25"/>
  <c r="H54" i="25" s="1"/>
  <c r="E42" i="25"/>
  <c r="H42" i="25" s="1"/>
  <c r="E39" i="25"/>
  <c r="H39" i="25" s="1"/>
  <c r="E38" i="25"/>
  <c r="H38" i="25" s="1"/>
  <c r="I55" i="25"/>
  <c r="C59" i="25"/>
  <c r="C40" i="25"/>
  <c r="C41" i="25"/>
  <c r="D64" i="25"/>
  <c r="H64" i="25" s="1"/>
  <c r="I62" i="25"/>
  <c r="I61" i="25"/>
  <c r="I60" i="25"/>
  <c r="I59" i="25"/>
  <c r="D59" i="25"/>
  <c r="I53" i="25"/>
  <c r="H53" i="25"/>
  <c r="I52" i="25"/>
  <c r="H52" i="25"/>
  <c r="I51" i="25"/>
  <c r="I46" i="25"/>
  <c r="H46" i="25"/>
  <c r="H45" i="25"/>
  <c r="H44" i="25"/>
  <c r="I42" i="25"/>
  <c r="H41" i="25"/>
  <c r="I39" i="25"/>
  <c r="I38" i="25"/>
  <c r="I37" i="25"/>
  <c r="H37" i="25"/>
  <c r="C36" i="25"/>
  <c r="I36" i="25" s="1"/>
  <c r="I35" i="25"/>
  <c r="H35" i="25"/>
  <c r="I34" i="25"/>
  <c r="I31" i="25"/>
  <c r="H31" i="25"/>
  <c r="I30" i="25"/>
  <c r="H30" i="25"/>
  <c r="I29" i="25"/>
  <c r="D29" i="25"/>
  <c r="D34" i="25" s="1"/>
  <c r="I26" i="25"/>
  <c r="E26" i="25"/>
  <c r="H26" i="25" s="1"/>
  <c r="G25" i="25"/>
  <c r="F25" i="25"/>
  <c r="H25" i="25"/>
  <c r="G24" i="25"/>
  <c r="F24" i="25"/>
  <c r="I21" i="25"/>
  <c r="H21" i="25"/>
  <c r="I20" i="25"/>
  <c r="H20" i="25"/>
  <c r="I19" i="25"/>
  <c r="H19" i="25"/>
  <c r="I18" i="25"/>
  <c r="H18" i="25"/>
  <c r="I17" i="25"/>
  <c r="H17" i="25"/>
  <c r="H22" i="25" s="1"/>
  <c r="I14" i="25"/>
  <c r="H14" i="25"/>
  <c r="C13" i="25"/>
  <c r="H10" i="25"/>
  <c r="I10" i="25"/>
  <c r="I9" i="25"/>
  <c r="I8" i="25"/>
  <c r="H8" i="25"/>
  <c r="I7" i="25"/>
  <c r="D7" i="25"/>
  <c r="D9" i="25" s="1"/>
  <c r="D13" i="25" s="1"/>
  <c r="D24" i="25" s="1"/>
  <c r="D56" i="25" s="1"/>
  <c r="F6" i="25"/>
  <c r="C6" i="25"/>
  <c r="H6" i="25" s="1"/>
  <c r="E35" i="24"/>
  <c r="D35" i="24"/>
  <c r="I2" i="25" s="1"/>
  <c r="E34" i="24"/>
  <c r="D34" i="24"/>
  <c r="E33" i="24"/>
  <c r="D33" i="24"/>
  <c r="E32" i="24"/>
  <c r="D32" i="24"/>
  <c r="E31" i="24"/>
  <c r="D31" i="24"/>
  <c r="E30" i="24"/>
  <c r="D30" i="24"/>
  <c r="E29" i="24"/>
  <c r="D29" i="24"/>
  <c r="E28" i="24"/>
  <c r="D28" i="24"/>
  <c r="F28" i="24" s="1"/>
  <c r="E27" i="24"/>
  <c r="D27" i="24"/>
  <c r="E26" i="24"/>
  <c r="D26" i="24"/>
  <c r="E25" i="24"/>
  <c r="D25" i="24"/>
  <c r="E24" i="24"/>
  <c r="D24" i="24"/>
  <c r="F24" i="24" s="1"/>
  <c r="E23" i="24"/>
  <c r="F23" i="24" s="1"/>
  <c r="D23" i="24"/>
  <c r="E22" i="24"/>
  <c r="D22" i="24"/>
  <c r="E21" i="24"/>
  <c r="D21" i="24"/>
  <c r="E20" i="24"/>
  <c r="D20" i="24"/>
  <c r="F20" i="24" s="1"/>
  <c r="F19" i="24"/>
  <c r="E19" i="24"/>
  <c r="D19" i="24"/>
  <c r="E18" i="24"/>
  <c r="D18" i="24"/>
  <c r="E17" i="24"/>
  <c r="D17" i="24"/>
  <c r="E16" i="24"/>
  <c r="D16" i="24"/>
  <c r="F16" i="24" s="1"/>
  <c r="E15" i="24"/>
  <c r="D15" i="24"/>
  <c r="F15" i="24" s="1"/>
  <c r="E14" i="24"/>
  <c r="D14" i="24"/>
  <c r="F14" i="24" s="1"/>
  <c r="E13" i="24"/>
  <c r="D13" i="24"/>
  <c r="E12" i="24"/>
  <c r="D12" i="24"/>
  <c r="E11" i="24"/>
  <c r="D11" i="24"/>
  <c r="F11" i="24" s="1"/>
  <c r="E10" i="24"/>
  <c r="D10" i="24"/>
  <c r="F10" i="24" s="1"/>
  <c r="E9" i="24"/>
  <c r="D9" i="24"/>
  <c r="F9" i="24" s="1"/>
  <c r="E8" i="24"/>
  <c r="D8" i="24"/>
  <c r="E7" i="24"/>
  <c r="D7" i="24"/>
  <c r="F7" i="24" s="1"/>
  <c r="E6" i="24"/>
  <c r="D6" i="24"/>
  <c r="F6" i="24" s="1"/>
  <c r="B6" i="24"/>
  <c r="B7" i="24" s="1"/>
  <c r="B8" i="24" s="1"/>
  <c r="B9" i="24" s="1"/>
  <c r="B10" i="24" s="1"/>
  <c r="B11" i="24" s="1"/>
  <c r="B12" i="24" s="1"/>
  <c r="B13" i="24" s="1"/>
  <c r="B14" i="24" s="1"/>
  <c r="B15" i="24" s="1"/>
  <c r="B16" i="24" s="1"/>
  <c r="B17" i="24" s="1"/>
  <c r="B18" i="24" s="1"/>
  <c r="B19" i="24" s="1"/>
  <c r="B20" i="24" s="1"/>
  <c r="B21" i="24" s="1"/>
  <c r="B22" i="24" s="1"/>
  <c r="M5" i="24"/>
  <c r="G5" i="24" s="1"/>
  <c r="H5" i="24" s="1"/>
  <c r="I5" i="24" s="1"/>
  <c r="J5" i="24" s="1"/>
  <c r="F13" i="24" l="1"/>
  <c r="F17" i="24"/>
  <c r="F6" i="26"/>
  <c r="F21" i="24"/>
  <c r="F29" i="24"/>
  <c r="F10" i="26"/>
  <c r="F14" i="26"/>
  <c r="F18" i="26"/>
  <c r="F22" i="26"/>
  <c r="F26" i="26"/>
  <c r="F30" i="26"/>
  <c r="F34" i="26"/>
  <c r="F26" i="24"/>
  <c r="F30" i="24"/>
  <c r="F27" i="24"/>
  <c r="F31" i="24"/>
  <c r="I32" i="25"/>
  <c r="H59" i="25"/>
  <c r="F18" i="24"/>
  <c r="F25" i="24"/>
  <c r="F32" i="24"/>
  <c r="F35" i="24"/>
  <c r="F7" i="26"/>
  <c r="F22" i="24"/>
  <c r="F33" i="24"/>
  <c r="F34" i="24"/>
  <c r="F8" i="24"/>
  <c r="F12" i="24"/>
  <c r="F8" i="26"/>
  <c r="F12" i="26"/>
  <c r="F16" i="26"/>
  <c r="F20" i="26"/>
  <c r="F24" i="26"/>
  <c r="F28" i="26"/>
  <c r="F32" i="26"/>
  <c r="I22" i="25"/>
  <c r="F23" i="26"/>
  <c r="F25" i="26"/>
  <c r="F27" i="26"/>
  <c r="F29" i="26"/>
  <c r="F31" i="26"/>
  <c r="F33" i="26"/>
  <c r="F35" i="26"/>
  <c r="B25" i="26"/>
  <c r="D57" i="25"/>
  <c r="H56" i="25"/>
  <c r="H9" i="25"/>
  <c r="H13" i="25"/>
  <c r="H15" i="25" s="1"/>
  <c r="H34" i="25"/>
  <c r="D36" i="25"/>
  <c r="D40" i="25" s="1"/>
  <c r="D51" i="25" s="1"/>
  <c r="H24" i="25"/>
  <c r="H27" i="25" s="1"/>
  <c r="I25" i="25"/>
  <c r="I41" i="25"/>
  <c r="I54" i="25"/>
  <c r="I63" i="25" s="1"/>
  <c r="I6" i="25"/>
  <c r="I11" i="25" s="1"/>
  <c r="H7" i="25"/>
  <c r="I13" i="25"/>
  <c r="I15" i="25" s="1"/>
  <c r="I24" i="25"/>
  <c r="H29" i="25"/>
  <c r="H32" i="25" s="1"/>
  <c r="I40" i="25"/>
  <c r="I43" i="25" s="1"/>
  <c r="B23" i="24"/>
  <c r="F52" i="20"/>
  <c r="E52" i="20"/>
  <c r="F55" i="20"/>
  <c r="F56" i="20"/>
  <c r="F57" i="20"/>
  <c r="F58" i="20"/>
  <c r="F59" i="20"/>
  <c r="F60" i="20"/>
  <c r="F61" i="20"/>
  <c r="E5" i="20"/>
  <c r="E6" i="20"/>
  <c r="E7" i="20"/>
  <c r="E8" i="20"/>
  <c r="E9" i="20"/>
  <c r="E10" i="20"/>
  <c r="E11" i="20"/>
  <c r="E12" i="20"/>
  <c r="E13" i="20"/>
  <c r="E14" i="20"/>
  <c r="E47" i="20"/>
  <c r="E48" i="20"/>
  <c r="E49" i="20"/>
  <c r="E50" i="20"/>
  <c r="E51" i="20"/>
  <c r="E53" i="20"/>
  <c r="E54" i="20"/>
  <c r="I2" i="32" s="1"/>
  <c r="E55" i="20"/>
  <c r="E56" i="20"/>
  <c r="E57" i="20"/>
  <c r="E58" i="20"/>
  <c r="E59" i="20"/>
  <c r="E60" i="20"/>
  <c r="E61" i="20"/>
  <c r="E4" i="20"/>
  <c r="H36" i="25" l="1"/>
  <c r="I27" i="25"/>
  <c r="H61" i="32"/>
  <c r="H59" i="32"/>
  <c r="H60" i="32"/>
  <c r="G61" i="20"/>
  <c r="G59" i="20"/>
  <c r="G57" i="20"/>
  <c r="G55" i="20"/>
  <c r="B26" i="26"/>
  <c r="H11" i="25"/>
  <c r="I48" i="25"/>
  <c r="I67" i="25" s="1"/>
  <c r="H51" i="25"/>
  <c r="D55" i="25"/>
  <c r="H55" i="25" s="1"/>
  <c r="H40" i="25"/>
  <c r="H43" i="25" s="1"/>
  <c r="D58" i="25"/>
  <c r="H58" i="25" s="1"/>
  <c r="H57" i="25"/>
  <c r="G52" i="20"/>
  <c r="B24" i="24"/>
  <c r="G60" i="20"/>
  <c r="G56" i="20"/>
  <c r="G58" i="20"/>
  <c r="F56" i="18"/>
  <c r="F55" i="18"/>
  <c r="F54" i="18"/>
  <c r="F53" i="18"/>
  <c r="F52" i="18"/>
  <c r="E56" i="18"/>
  <c r="E55" i="18"/>
  <c r="E54" i="18"/>
  <c r="E53" i="18"/>
  <c r="E52" i="18"/>
  <c r="E51" i="18"/>
  <c r="E50" i="18"/>
  <c r="E49" i="18"/>
  <c r="E48" i="18"/>
  <c r="E47" i="18"/>
  <c r="E46" i="18"/>
  <c r="E45" i="18"/>
  <c r="E44" i="18"/>
  <c r="E20" i="18"/>
  <c r="E19" i="18"/>
  <c r="E18" i="18"/>
  <c r="E17" i="18"/>
  <c r="E16" i="18"/>
  <c r="E15" i="18"/>
  <c r="E14" i="18"/>
  <c r="E13" i="18"/>
  <c r="E12" i="18"/>
  <c r="E11" i="18"/>
  <c r="E10" i="18"/>
  <c r="E8" i="18"/>
  <c r="E7" i="18"/>
  <c r="E6" i="18"/>
  <c r="E5" i="18"/>
  <c r="E4" i="18"/>
  <c r="H62" i="32" l="1"/>
  <c r="H64" i="32" s="1"/>
  <c r="H66" i="32" s="1"/>
  <c r="H67" i="32" s="1"/>
  <c r="B27" i="26"/>
  <c r="H48" i="25"/>
  <c r="B25" i="24"/>
  <c r="G55" i="18"/>
  <c r="G52" i="18"/>
  <c r="G56" i="18"/>
  <c r="G54" i="18"/>
  <c r="G53" i="18"/>
  <c r="N3" i="18"/>
  <c r="F7" i="20"/>
  <c r="F54" i="20"/>
  <c r="F53" i="20"/>
  <c r="F51" i="20"/>
  <c r="F50" i="20"/>
  <c r="F49" i="20"/>
  <c r="F48" i="20"/>
  <c r="G46" i="20"/>
  <c r="F15" i="20"/>
  <c r="F14" i="20"/>
  <c r="F13" i="20"/>
  <c r="F12" i="20"/>
  <c r="F11" i="20"/>
  <c r="F10" i="20"/>
  <c r="F9" i="20"/>
  <c r="F8" i="20"/>
  <c r="F6" i="20"/>
  <c r="F5" i="20"/>
  <c r="F4" i="20"/>
  <c r="C4" i="20"/>
  <c r="C5" i="20" s="1"/>
  <c r="C6" i="20" s="1"/>
  <c r="C7" i="20" s="1"/>
  <c r="C8" i="20" s="1"/>
  <c r="C9" i="20" s="1"/>
  <c r="C10" i="20" s="1"/>
  <c r="C11" i="20" s="1"/>
  <c r="C12" i="20" s="1"/>
  <c r="C13" i="20" s="1"/>
  <c r="C14" i="20" s="1"/>
  <c r="C15" i="20" s="1"/>
  <c r="C16" i="20" s="1"/>
  <c r="C17" i="20" s="1"/>
  <c r="C18" i="20" s="1"/>
  <c r="C19" i="20" s="1"/>
  <c r="C20" i="20" s="1"/>
  <c r="C21" i="20" s="1"/>
  <c r="C22" i="20" s="1"/>
  <c r="C23" i="20" s="1"/>
  <c r="C24" i="20" s="1"/>
  <c r="C25" i="20" s="1"/>
  <c r="C26" i="20" s="1"/>
  <c r="C27" i="20" s="1"/>
  <c r="C28" i="20" s="1"/>
  <c r="C29" i="20" s="1"/>
  <c r="C30" i="20" s="1"/>
  <c r="C31" i="20" s="1"/>
  <c r="C32" i="20" s="1"/>
  <c r="C33" i="20" s="1"/>
  <c r="C34" i="20" s="1"/>
  <c r="C35" i="20" s="1"/>
  <c r="C36" i="20" s="1"/>
  <c r="C37" i="20" s="1"/>
  <c r="F4" i="18"/>
  <c r="F5" i="18"/>
  <c r="F6" i="18"/>
  <c r="F7" i="18"/>
  <c r="F8" i="18"/>
  <c r="F9" i="18"/>
  <c r="F10" i="18"/>
  <c r="F11" i="18"/>
  <c r="F12" i="18"/>
  <c r="F13" i="18"/>
  <c r="F14" i="18"/>
  <c r="F15" i="18"/>
  <c r="F16" i="18"/>
  <c r="F17" i="18"/>
  <c r="F18" i="18"/>
  <c r="F19" i="18"/>
  <c r="F20" i="18"/>
  <c r="F44" i="18"/>
  <c r="F45" i="18"/>
  <c r="F46" i="18"/>
  <c r="F47" i="18"/>
  <c r="F48" i="18"/>
  <c r="F49" i="18"/>
  <c r="F50" i="18"/>
  <c r="F51" i="18"/>
  <c r="C4" i="18"/>
  <c r="C5" i="18" s="1"/>
  <c r="C6" i="18" s="1"/>
  <c r="C7" i="18" s="1"/>
  <c r="C8" i="18" s="1"/>
  <c r="C9" i="18" s="1"/>
  <c r="C10" i="18" s="1"/>
  <c r="C11" i="18" s="1"/>
  <c r="C12" i="18" s="1"/>
  <c r="C13" i="18" s="1"/>
  <c r="C14" i="18" s="1"/>
  <c r="C15" i="18" s="1"/>
  <c r="C16" i="18" s="1"/>
  <c r="C17" i="18" s="1"/>
  <c r="C18" i="18" s="1"/>
  <c r="C19" i="18" s="1"/>
  <c r="C20" i="18" s="1"/>
  <c r="C21" i="18" s="1"/>
  <c r="C38" i="20" l="1"/>
  <c r="C39" i="20" s="1"/>
  <c r="C40" i="20" s="1"/>
  <c r="C41" i="20" s="1"/>
  <c r="C42" i="20" s="1"/>
  <c r="C43" i="20" s="1"/>
  <c r="C44" i="20" s="1"/>
  <c r="C45" i="20" s="1"/>
  <c r="C46" i="20" s="1"/>
  <c r="C47" i="20" s="1"/>
  <c r="C48" i="20" s="1"/>
  <c r="C49" i="20" s="1"/>
  <c r="C50" i="20" s="1"/>
  <c r="C51" i="20" s="1"/>
  <c r="C52" i="20" s="1"/>
  <c r="C53" i="20" s="1"/>
  <c r="C22" i="18"/>
  <c r="Q12" i="32"/>
  <c r="Q13" i="32"/>
  <c r="B28" i="26"/>
  <c r="O5" i="25"/>
  <c r="B26" i="24"/>
  <c r="G7" i="20"/>
  <c r="G4" i="20"/>
  <c r="G6" i="20"/>
  <c r="G8" i="20"/>
  <c r="G10" i="20"/>
  <c r="G12" i="20"/>
  <c r="G14" i="20"/>
  <c r="G48" i="20"/>
  <c r="G50" i="20"/>
  <c r="G54" i="20"/>
  <c r="G5" i="20"/>
  <c r="G9" i="20"/>
  <c r="G11" i="20"/>
  <c r="G13" i="20"/>
  <c r="G15" i="20"/>
  <c r="G47" i="20"/>
  <c r="G49" i="20"/>
  <c r="G51" i="20"/>
  <c r="G53" i="20"/>
  <c r="G50" i="18"/>
  <c r="G48" i="18"/>
  <c r="G46" i="18"/>
  <c r="G44" i="18"/>
  <c r="G19" i="18"/>
  <c r="G17" i="18"/>
  <c r="G15" i="18"/>
  <c r="G13" i="18"/>
  <c r="G11" i="18"/>
  <c r="G9" i="18"/>
  <c r="G7" i="18"/>
  <c r="G5" i="18"/>
  <c r="G51" i="18"/>
  <c r="G49" i="18"/>
  <c r="G47" i="18"/>
  <c r="G45" i="18"/>
  <c r="G20" i="18"/>
  <c r="G18" i="18"/>
  <c r="G16" i="18"/>
  <c r="G14" i="18"/>
  <c r="G12" i="18"/>
  <c r="G10" i="18"/>
  <c r="G8" i="18"/>
  <c r="G6" i="18"/>
  <c r="G4" i="18"/>
  <c r="C23" i="18" l="1"/>
  <c r="B29" i="26"/>
  <c r="B27" i="24"/>
  <c r="C24" i="18" l="1"/>
  <c r="B30" i="26"/>
  <c r="B28" i="24"/>
  <c r="C25" i="18" l="1"/>
  <c r="B31" i="26"/>
  <c r="B29" i="24"/>
  <c r="C54" i="20"/>
  <c r="C26" i="18" l="1"/>
  <c r="B32" i="26"/>
  <c r="B30" i="24"/>
  <c r="C55" i="20"/>
  <c r="C27" i="18" l="1"/>
  <c r="B33" i="26"/>
  <c r="B31" i="24"/>
  <c r="C56" i="20"/>
  <c r="C28" i="18" l="1"/>
  <c r="B34" i="26"/>
  <c r="B32" i="24"/>
  <c r="C57" i="20"/>
  <c r="C29" i="18" l="1"/>
  <c r="B35" i="26"/>
  <c r="B33" i="24"/>
  <c r="C58" i="20"/>
  <c r="C30" i="18" l="1"/>
  <c r="B34" i="24"/>
  <c r="C59" i="20"/>
  <c r="C31" i="18" l="1"/>
  <c r="B35" i="24"/>
  <c r="C60" i="20"/>
  <c r="C32" i="18" l="1"/>
  <c r="C33" i="18" s="1"/>
  <c r="C34" i="18" s="1"/>
  <c r="C35" i="18" s="1"/>
  <c r="C36" i="18" s="1"/>
  <c r="C37" i="18" s="1"/>
  <c r="C38" i="18" s="1"/>
  <c r="C39" i="18" s="1"/>
  <c r="C40" i="18" s="1"/>
  <c r="C41" i="18" s="1"/>
  <c r="C42" i="18" s="1"/>
  <c r="C43" i="18" s="1"/>
  <c r="C44" i="18" s="1"/>
  <c r="C45" i="18" s="1"/>
  <c r="C46" i="18" s="1"/>
  <c r="C47" i="18" s="1"/>
  <c r="C48" i="18" s="1"/>
  <c r="C49" i="18" s="1"/>
  <c r="C50" i="18" s="1"/>
  <c r="C51" i="18" s="1"/>
  <c r="C52" i="18" s="1"/>
  <c r="C53" i="18" s="1"/>
  <c r="C54" i="18" s="1"/>
  <c r="C61" i="20"/>
  <c r="K64" i="8" l="1"/>
  <c r="L62" i="8"/>
  <c r="L61" i="8"/>
  <c r="L60" i="8"/>
  <c r="L59" i="8"/>
  <c r="K59" i="8"/>
  <c r="L55" i="8"/>
  <c r="L54" i="8"/>
  <c r="K54" i="8"/>
  <c r="L47" i="8"/>
  <c r="K47" i="8"/>
  <c r="K46" i="8"/>
  <c r="K45" i="8"/>
  <c r="L43" i="8"/>
  <c r="K43" i="8"/>
  <c r="L40" i="8"/>
  <c r="K40" i="8"/>
  <c r="L39" i="8"/>
  <c r="K39" i="8"/>
  <c r="I42" i="8"/>
  <c r="J38" i="8"/>
  <c r="J42" i="8" s="1"/>
  <c r="K36" i="8"/>
  <c r="L32" i="8"/>
  <c r="K32" i="8"/>
  <c r="L31" i="8"/>
  <c r="K31" i="8"/>
  <c r="L58" i="8"/>
  <c r="L27" i="8"/>
  <c r="K27" i="8"/>
  <c r="J53" i="8"/>
  <c r="L53" i="8" s="1"/>
  <c r="L22" i="8"/>
  <c r="K22" i="8"/>
  <c r="L21" i="8"/>
  <c r="K21" i="8"/>
  <c r="L20" i="8"/>
  <c r="K20" i="8"/>
  <c r="L19" i="8"/>
  <c r="I26" i="8"/>
  <c r="I53" i="8" s="1"/>
  <c r="K53" i="8" s="1"/>
  <c r="J25" i="8"/>
  <c r="J52" i="8" s="1"/>
  <c r="J56" i="8" s="1"/>
  <c r="L15" i="8"/>
  <c r="K15" i="8"/>
  <c r="J35" i="8"/>
  <c r="I35" i="8"/>
  <c r="I57" i="8" s="1"/>
  <c r="L11" i="8"/>
  <c r="K11" i="8"/>
  <c r="L10" i="8"/>
  <c r="L9" i="8"/>
  <c r="K9" i="8"/>
  <c r="I52" i="8"/>
  <c r="I56" i="8" s="1"/>
  <c r="L7" i="8"/>
  <c r="G16" i="6"/>
  <c r="J37" i="8" l="1"/>
  <c r="L37" i="8" s="1"/>
  <c r="J57" i="8"/>
  <c r="N4" i="20"/>
  <c r="H4" i="20" s="1"/>
  <c r="M5" i="26"/>
  <c r="G5" i="26" s="1"/>
  <c r="H5" i="26" s="1"/>
  <c r="I5" i="26" s="1"/>
  <c r="J5" i="26" s="1"/>
  <c r="N3" i="20"/>
  <c r="H3" i="20" s="1"/>
  <c r="K38" i="8"/>
  <c r="I37" i="8"/>
  <c r="K37" i="8" s="1"/>
  <c r="I41" i="8"/>
  <c r="K41" i="8" s="1"/>
  <c r="K55" i="8"/>
  <c r="K52" i="8"/>
  <c r="K8" i="8"/>
  <c r="L38" i="8"/>
  <c r="K58" i="8"/>
  <c r="K14" i="8"/>
  <c r="K16" i="8" s="1"/>
  <c r="K10" i="8"/>
  <c r="K18" i="8"/>
  <c r="L18" i="8"/>
  <c r="L23" i="8" s="1"/>
  <c r="K26" i="8"/>
  <c r="L26" i="8"/>
  <c r="L33" i="8"/>
  <c r="L35" i="8"/>
  <c r="L36" i="8"/>
  <c r="K42" i="8"/>
  <c r="L52" i="8"/>
  <c r="L56" i="8"/>
  <c r="L25" i="8"/>
  <c r="K35" i="8"/>
  <c r="K30" i="8"/>
  <c r="K33" i="8" s="1"/>
  <c r="J41" i="8"/>
  <c r="L41" i="8" s="1"/>
  <c r="L57" i="8"/>
  <c r="L42" i="8"/>
  <c r="K7" i="8"/>
  <c r="L8" i="8"/>
  <c r="L12" i="8" s="1"/>
  <c r="L14" i="8"/>
  <c r="L16" i="8" s="1"/>
  <c r="K19" i="8"/>
  <c r="M7" i="26" l="1"/>
  <c r="G7" i="26" s="1"/>
  <c r="H7" i="26" s="1"/>
  <c r="I7" i="26" s="1"/>
  <c r="M8" i="26"/>
  <c r="G8" i="26" s="1"/>
  <c r="H8" i="26" s="1"/>
  <c r="I8" i="26" s="1"/>
  <c r="M6" i="26"/>
  <c r="G6" i="26" s="1"/>
  <c r="H6" i="26" s="1"/>
  <c r="I6" i="26" s="1"/>
  <c r="J6" i="26" s="1"/>
  <c r="K56" i="8"/>
  <c r="K44" i="8"/>
  <c r="K25" i="8"/>
  <c r="K28" i="8" s="1"/>
  <c r="K57" i="8"/>
  <c r="K12" i="8"/>
  <c r="L28" i="8"/>
  <c r="L63" i="8"/>
  <c r="K23" i="8"/>
  <c r="L44" i="8"/>
  <c r="K63" i="8" l="1"/>
  <c r="J7" i="26"/>
  <c r="J8" i="26" s="1"/>
  <c r="N5" i="20"/>
  <c r="H5" i="20" s="1"/>
  <c r="N6" i="20"/>
  <c r="H6" i="20" s="1"/>
  <c r="L49" i="8"/>
  <c r="L68" i="8" s="1"/>
  <c r="K49" i="8"/>
  <c r="K65" i="8" l="1"/>
  <c r="K68" i="8" l="1"/>
  <c r="K69" i="8" s="1"/>
  <c r="U6" i="20" s="1"/>
  <c r="H12" i="20" l="1"/>
  <c r="H16" i="20"/>
  <c r="H20" i="20"/>
  <c r="H24" i="20"/>
  <c r="H28" i="20"/>
  <c r="H32" i="20"/>
  <c r="H36" i="20"/>
  <c r="H40" i="20"/>
  <c r="H44" i="20"/>
  <c r="H48" i="20"/>
  <c r="H52" i="20"/>
  <c r="H8" i="20"/>
  <c r="H13" i="20"/>
  <c r="H17" i="20"/>
  <c r="H21" i="20"/>
  <c r="H25" i="20"/>
  <c r="H29" i="20"/>
  <c r="H33" i="20"/>
  <c r="H37" i="20"/>
  <c r="H41" i="20"/>
  <c r="H45" i="20"/>
  <c r="H49" i="20"/>
  <c r="H53" i="20"/>
  <c r="H7" i="20"/>
  <c r="H10" i="20"/>
  <c r="H14" i="20"/>
  <c r="H18" i="20"/>
  <c r="H22" i="20"/>
  <c r="H26" i="20"/>
  <c r="H30" i="20"/>
  <c r="H34" i="20"/>
  <c r="H38" i="20"/>
  <c r="H42" i="20"/>
  <c r="H46" i="20"/>
  <c r="H50" i="20"/>
  <c r="H54" i="20"/>
  <c r="H11" i="20"/>
  <c r="H15" i="20"/>
  <c r="H19" i="20"/>
  <c r="H23" i="20"/>
  <c r="H27" i="20"/>
  <c r="H31" i="20"/>
  <c r="H35" i="20"/>
  <c r="H39" i="20"/>
  <c r="H43" i="20"/>
  <c r="H47" i="20"/>
  <c r="H51" i="20"/>
  <c r="H9" i="20"/>
  <c r="T8" i="26"/>
  <c r="G24" i="26" s="1"/>
  <c r="H24" i="26" s="1"/>
  <c r="I24" i="26" s="1"/>
  <c r="C55" i="18"/>
  <c r="C56" i="18" s="1"/>
  <c r="G34" i="26" l="1"/>
  <c r="H34" i="26" s="1"/>
  <c r="I34" i="26" s="1"/>
  <c r="G10" i="26"/>
  <c r="H10" i="26" s="1"/>
  <c r="I10" i="26" s="1"/>
  <c r="G27" i="26"/>
  <c r="H27" i="26" s="1"/>
  <c r="I27" i="26" s="1"/>
  <c r="G28" i="26"/>
  <c r="H28" i="26" s="1"/>
  <c r="I28" i="26" s="1"/>
  <c r="G21" i="26"/>
  <c r="H21" i="26" s="1"/>
  <c r="I21" i="26" s="1"/>
  <c r="G13" i="26"/>
  <c r="H13" i="26" s="1"/>
  <c r="I13" i="26" s="1"/>
  <c r="G18" i="26"/>
  <c r="H18" i="26" s="1"/>
  <c r="I18" i="26" s="1"/>
  <c r="G31" i="26"/>
  <c r="H31" i="26" s="1"/>
  <c r="I31" i="26" s="1"/>
  <c r="G15" i="26"/>
  <c r="H15" i="26" s="1"/>
  <c r="I15" i="26" s="1"/>
  <c r="G23" i="26"/>
  <c r="H23" i="26" s="1"/>
  <c r="I23" i="26" s="1"/>
  <c r="G25" i="26"/>
  <c r="H25" i="26" s="1"/>
  <c r="I25" i="26" s="1"/>
  <c r="G12" i="26"/>
  <c r="H12" i="26" s="1"/>
  <c r="I12" i="26" s="1"/>
  <c r="G20" i="26"/>
  <c r="H20" i="26" s="1"/>
  <c r="I20" i="26" s="1"/>
  <c r="G32" i="26"/>
  <c r="H32" i="26" s="1"/>
  <c r="I32" i="26" s="1"/>
  <c r="G35" i="26"/>
  <c r="H35" i="26" s="1"/>
  <c r="I35" i="26" s="1"/>
  <c r="G17" i="26"/>
  <c r="H17" i="26" s="1"/>
  <c r="I17" i="26" s="1"/>
  <c r="G26" i="26"/>
  <c r="H26" i="26" s="1"/>
  <c r="I26" i="26" s="1"/>
  <c r="G29" i="26"/>
  <c r="H29" i="26" s="1"/>
  <c r="I29" i="26" s="1"/>
  <c r="G14" i="26"/>
  <c r="H14" i="26" s="1"/>
  <c r="I14" i="26" s="1"/>
  <c r="G22" i="26"/>
  <c r="H22" i="26" s="1"/>
  <c r="I22" i="26" s="1"/>
  <c r="G9" i="26"/>
  <c r="H9" i="26" s="1"/>
  <c r="I9" i="26" s="1"/>
  <c r="J9" i="26" s="1"/>
  <c r="G11" i="26"/>
  <c r="H11" i="26" s="1"/>
  <c r="I11" i="26" s="1"/>
  <c r="G19" i="26"/>
  <c r="H19" i="26" s="1"/>
  <c r="I19" i="26" s="1"/>
  <c r="G30" i="26"/>
  <c r="H30" i="26" s="1"/>
  <c r="I30" i="26" s="1"/>
  <c r="G33" i="26"/>
  <c r="H33" i="26" s="1"/>
  <c r="I33" i="26" s="1"/>
  <c r="G16" i="26"/>
  <c r="H16" i="26" s="1"/>
  <c r="I16" i="26" s="1"/>
  <c r="J10" i="26" l="1"/>
  <c r="J11" i="26" s="1"/>
  <c r="J12" i="26" s="1"/>
  <c r="J13" i="26" s="1"/>
  <c r="J14" i="26" s="1"/>
  <c r="J15" i="26" s="1"/>
  <c r="J16" i="26" s="1"/>
  <c r="J17" i="26" s="1"/>
  <c r="J18" i="26" s="1"/>
  <c r="J19" i="26" s="1"/>
  <c r="J20" i="26" s="1"/>
  <c r="J21" i="26" s="1"/>
  <c r="J22" i="26" s="1"/>
  <c r="J23" i="26" s="1"/>
  <c r="J24" i="26" s="1"/>
  <c r="K24" i="26" s="1"/>
  <c r="J25" i="26" l="1"/>
  <c r="K25" i="26" s="1"/>
  <c r="J26" i="26" l="1"/>
  <c r="K26" i="26" s="1"/>
  <c r="J27" i="26" l="1"/>
  <c r="K27" i="26" s="1"/>
  <c r="J28" i="26" l="1"/>
  <c r="K28" i="26" s="1"/>
  <c r="J29" i="26" l="1"/>
  <c r="K29" i="26" s="1"/>
  <c r="K74" i="7"/>
  <c r="J30" i="26" l="1"/>
  <c r="K30" i="26" s="1"/>
  <c r="I55" i="7"/>
  <c r="K55" i="7" s="1"/>
  <c r="L7" i="7"/>
  <c r="J55" i="7"/>
  <c r="L55" i="7" s="1"/>
  <c r="L16" i="7"/>
  <c r="L34" i="7"/>
  <c r="K34" i="7"/>
  <c r="J31" i="26" l="1"/>
  <c r="K31" i="26" s="1"/>
  <c r="K16" i="7"/>
  <c r="D31" i="5" s="1"/>
  <c r="K12" i="7"/>
  <c r="L12" i="7"/>
  <c r="K46" i="7"/>
  <c r="K24" i="7"/>
  <c r="J32" i="26" l="1"/>
  <c r="K32" i="26" s="1"/>
  <c r="G9" i="5"/>
  <c r="G36" i="5"/>
  <c r="G23" i="5"/>
  <c r="K51" i="7"/>
  <c r="M6" i="24"/>
  <c r="G6" i="24" s="1"/>
  <c r="H6" i="24" s="1"/>
  <c r="I6" i="24" s="1"/>
  <c r="J6" i="24" s="1"/>
  <c r="N4" i="18"/>
  <c r="J33" i="26" l="1"/>
  <c r="J34" i="26" s="1"/>
  <c r="L46" i="7"/>
  <c r="D33" i="5" s="1"/>
  <c r="K33" i="26" l="1"/>
  <c r="G37" i="5"/>
  <c r="G43" i="5" s="1"/>
  <c r="G24" i="5"/>
  <c r="G30" i="5" s="1"/>
  <c r="G10" i="5"/>
  <c r="G16" i="5" s="1"/>
  <c r="D39" i="5"/>
  <c r="L51" i="7"/>
  <c r="K34" i="26"/>
  <c r="J35" i="26"/>
  <c r="K35" i="26" s="1"/>
  <c r="H62" i="25"/>
  <c r="N6" i="18" l="1"/>
  <c r="M8" i="24"/>
  <c r="G8" i="24" s="1"/>
  <c r="H8" i="24" s="1"/>
  <c r="I8" i="24" s="1"/>
  <c r="M9" i="24"/>
  <c r="G9" i="24" s="1"/>
  <c r="H9" i="24" s="1"/>
  <c r="I9" i="24" s="1"/>
  <c r="N7" i="18"/>
  <c r="N8" i="18"/>
  <c r="M10" i="24"/>
  <c r="G10" i="24" s="1"/>
  <c r="H10" i="24" s="1"/>
  <c r="I10" i="24" s="1"/>
  <c r="G44" i="5"/>
  <c r="N5" i="18"/>
  <c r="M7" i="24"/>
  <c r="G7" i="24" s="1"/>
  <c r="H7" i="24" s="1"/>
  <c r="I7" i="24" s="1"/>
  <c r="J7" i="24" s="1"/>
  <c r="H61" i="25"/>
  <c r="H60" i="25"/>
  <c r="J8" i="24" l="1"/>
  <c r="J9" i="24" s="1"/>
  <c r="J10" i="24" s="1"/>
  <c r="H63" i="25"/>
  <c r="H65" i="25" s="1"/>
  <c r="H67" i="25" s="1"/>
  <c r="H68" i="25" s="1"/>
  <c r="H21" i="36" l="1"/>
  <c r="J21" i="36"/>
  <c r="I21" i="36"/>
  <c r="I64" i="7" s="1"/>
  <c r="K64" i="7" l="1"/>
  <c r="N21" i="36"/>
  <c r="N29" i="36" s="1"/>
  <c r="J64" i="7"/>
  <c r="K73" i="7" l="1"/>
  <c r="K75" i="7" s="1"/>
  <c r="K78" i="7" s="1"/>
  <c r="L64" i="7"/>
  <c r="L73" i="7" s="1"/>
  <c r="L78" i="7" s="1"/>
  <c r="K79" i="7" l="1"/>
  <c r="U6" i="18" s="1"/>
  <c r="U8" i="24" l="1"/>
  <c r="G21" i="24" s="1"/>
  <c r="H21" i="24" s="1"/>
  <c r="I21" i="24" s="1"/>
  <c r="H55" i="18"/>
  <c r="I55" i="18" s="1"/>
  <c r="J55" i="18" s="1"/>
  <c r="H56" i="18"/>
  <c r="I56" i="18" s="1"/>
  <c r="J56" i="18" s="1"/>
  <c r="G27" i="24" l="1"/>
  <c r="H27" i="24" s="1"/>
  <c r="I27" i="24" s="1"/>
  <c r="G20" i="24"/>
  <c r="H20" i="24" s="1"/>
  <c r="I20" i="24" s="1"/>
  <c r="G33" i="24"/>
  <c r="H33" i="24" s="1"/>
  <c r="I33" i="24" s="1"/>
  <c r="G11" i="24"/>
  <c r="H11" i="24" s="1"/>
  <c r="I11" i="24" s="1"/>
  <c r="J11" i="24" s="1"/>
  <c r="G13" i="24"/>
  <c r="H13" i="24" s="1"/>
  <c r="I13" i="24" s="1"/>
  <c r="G35" i="24"/>
  <c r="H35" i="24" s="1"/>
  <c r="I35" i="24" s="1"/>
  <c r="G14" i="24"/>
  <c r="H14" i="24" s="1"/>
  <c r="I14" i="24" s="1"/>
  <c r="G17" i="24"/>
  <c r="H17" i="24" s="1"/>
  <c r="I17" i="24" s="1"/>
  <c r="G28" i="24"/>
  <c r="H28" i="24" s="1"/>
  <c r="I28" i="24" s="1"/>
  <c r="G18" i="24"/>
  <c r="H18" i="24" s="1"/>
  <c r="I18" i="24" s="1"/>
  <c r="G16" i="24"/>
  <c r="H16" i="24" s="1"/>
  <c r="I16" i="24" s="1"/>
  <c r="G32" i="24"/>
  <c r="H32" i="24" s="1"/>
  <c r="I32" i="24" s="1"/>
  <c r="G29" i="24"/>
  <c r="H29" i="24" s="1"/>
  <c r="I29" i="24" s="1"/>
  <c r="G12" i="24"/>
  <c r="H12" i="24" s="1"/>
  <c r="I12" i="24" s="1"/>
  <c r="G15" i="24"/>
  <c r="H15" i="24" s="1"/>
  <c r="I15" i="24" s="1"/>
  <c r="G30" i="24"/>
  <c r="H30" i="24" s="1"/>
  <c r="I30" i="24" s="1"/>
  <c r="G24" i="24"/>
  <c r="H24" i="24" s="1"/>
  <c r="I24" i="24" s="1"/>
  <c r="G19" i="24"/>
  <c r="H19" i="24" s="1"/>
  <c r="I19" i="24" s="1"/>
  <c r="G34" i="24"/>
  <c r="H34" i="24" s="1"/>
  <c r="I34" i="24" s="1"/>
  <c r="G31" i="24"/>
  <c r="H31" i="24" s="1"/>
  <c r="I31" i="24" s="1"/>
  <c r="G22" i="24"/>
  <c r="H22" i="24" s="1"/>
  <c r="I22" i="24" s="1"/>
  <c r="G25" i="24"/>
  <c r="H25" i="24" s="1"/>
  <c r="I25" i="24" s="1"/>
  <c r="G23" i="24"/>
  <c r="H23" i="24" s="1"/>
  <c r="I23" i="24" s="1"/>
  <c r="G26" i="24"/>
  <c r="H26" i="24" s="1"/>
  <c r="I26" i="24" s="1"/>
  <c r="J12" i="24" l="1"/>
  <c r="J13" i="24" s="1"/>
  <c r="J14" i="24" s="1"/>
  <c r="J15" i="24" s="1"/>
  <c r="J16" i="24" s="1"/>
  <c r="J17" i="24" s="1"/>
  <c r="J18" i="24" s="1"/>
  <c r="J19" i="24" s="1"/>
  <c r="J20" i="24" s="1"/>
  <c r="J21" i="24" s="1"/>
  <c r="J22" i="24" s="1"/>
  <c r="K22" i="24" s="1"/>
  <c r="J23" i="24" l="1"/>
  <c r="K23" i="24" s="1"/>
  <c r="J24" i="24" l="1"/>
  <c r="J25" i="24" s="1"/>
  <c r="K25" i="24" s="1"/>
  <c r="K24" i="24" l="1"/>
  <c r="J26" i="24"/>
  <c r="J27" i="24" s="1"/>
  <c r="K26" i="24" l="1"/>
  <c r="K27" i="24"/>
  <c r="J28" i="24"/>
  <c r="K28" i="24" l="1"/>
  <c r="J29" i="24"/>
  <c r="K29" i="24" l="1"/>
  <c r="J30" i="24"/>
  <c r="K30" i="24" l="1"/>
  <c r="J31" i="24"/>
  <c r="K31" i="24" l="1"/>
  <c r="J32" i="24"/>
  <c r="K32" i="24" l="1"/>
  <c r="J33" i="24"/>
  <c r="K33" i="24" l="1"/>
  <c r="J34" i="24"/>
  <c r="K34" i="24" l="1"/>
  <c r="J35" i="24"/>
  <c r="K35" i="24" s="1"/>
  <c r="I51" i="20" l="1"/>
  <c r="J51" i="20" s="1"/>
  <c r="I13" i="20"/>
  <c r="J13" i="20" s="1"/>
  <c r="I29" i="20"/>
  <c r="J29" i="20" s="1"/>
  <c r="I46" i="20"/>
  <c r="J46" i="20" s="1"/>
  <c r="H59" i="20"/>
  <c r="I59" i="20" s="1"/>
  <c r="J59" i="20" s="1"/>
  <c r="I14" i="20"/>
  <c r="J14" i="20" s="1"/>
  <c r="I37" i="20"/>
  <c r="J37" i="20" s="1"/>
  <c r="I43" i="20"/>
  <c r="J43" i="20" s="1"/>
  <c r="I22" i="20"/>
  <c r="J22" i="20" s="1"/>
  <c r="I53" i="20"/>
  <c r="J53" i="20" s="1"/>
  <c r="I6" i="20"/>
  <c r="J6" i="20" s="1"/>
  <c r="I32" i="20"/>
  <c r="J32" i="20" s="1"/>
  <c r="I52" i="20"/>
  <c r="J52" i="20" s="1"/>
  <c r="I23" i="20"/>
  <c r="J23" i="20" s="1"/>
  <c r="I34" i="20"/>
  <c r="J34" i="20" s="1"/>
  <c r="I15" i="20"/>
  <c r="J15" i="20" s="1"/>
  <c r="I27" i="20"/>
  <c r="J27" i="20" s="1"/>
  <c r="H58" i="20"/>
  <c r="I58" i="20" s="1"/>
  <c r="J58" i="20" s="1"/>
  <c r="I40" i="20"/>
  <c r="J40" i="20" s="1"/>
  <c r="I45" i="20"/>
  <c r="J45" i="20" s="1"/>
  <c r="I24" i="20"/>
  <c r="J24" i="20" s="1"/>
  <c r="I3" i="20"/>
  <c r="J3" i="20" s="1"/>
  <c r="K3" i="20" s="1"/>
  <c r="I8" i="20"/>
  <c r="J8" i="20" s="1"/>
  <c r="I7" i="20"/>
  <c r="J7" i="20" s="1"/>
  <c r="I41" i="20"/>
  <c r="J41" i="20" s="1"/>
  <c r="H60" i="20"/>
  <c r="I60" i="20" s="1"/>
  <c r="J60" i="20" s="1"/>
  <c r="I39" i="20"/>
  <c r="J39" i="20" s="1"/>
  <c r="I10" i="20"/>
  <c r="J10" i="20" s="1"/>
  <c r="I35" i="20"/>
  <c r="J35" i="20" s="1"/>
  <c r="I38" i="20"/>
  <c r="J38" i="20" s="1"/>
  <c r="I11" i="20"/>
  <c r="J11" i="20" s="1"/>
  <c r="I16" i="20"/>
  <c r="J16" i="20" s="1"/>
  <c r="I50" i="20"/>
  <c r="J50" i="20" s="1"/>
  <c r="I20" i="20"/>
  <c r="J20" i="20" s="1"/>
  <c r="I48" i="20"/>
  <c r="J48" i="20" s="1"/>
  <c r="I5" i="20"/>
  <c r="J5" i="20" s="1"/>
  <c r="I17" i="20"/>
  <c r="J17" i="20" s="1"/>
  <c r="I26" i="20"/>
  <c r="J26" i="20" s="1"/>
  <c r="I33" i="20"/>
  <c r="J33" i="20" s="1"/>
  <c r="I44" i="20"/>
  <c r="J44" i="20" s="1"/>
  <c r="H56" i="20"/>
  <c r="I56" i="20" s="1"/>
  <c r="J56" i="20" s="1"/>
  <c r="I49" i="20"/>
  <c r="J49" i="20" s="1"/>
  <c r="I9" i="20"/>
  <c r="J9" i="20" s="1"/>
  <c r="I18" i="20"/>
  <c r="J18" i="20" s="1"/>
  <c r="I25" i="20"/>
  <c r="J25" i="20" s="1"/>
  <c r="I4" i="20"/>
  <c r="J4" i="20" s="1"/>
  <c r="H55" i="20"/>
  <c r="I55" i="20" s="1"/>
  <c r="J55" i="20" s="1"/>
  <c r="I19" i="20"/>
  <c r="J19" i="20" s="1"/>
  <c r="I30" i="20"/>
  <c r="J30" i="20" s="1"/>
  <c r="H61" i="20"/>
  <c r="I61" i="20" s="1"/>
  <c r="J61" i="20" s="1"/>
  <c r="I47" i="20"/>
  <c r="J47" i="20" s="1"/>
  <c r="I28" i="20"/>
  <c r="J28" i="20" s="1"/>
  <c r="I21" i="20"/>
  <c r="J21" i="20" s="1"/>
  <c r="I42" i="20"/>
  <c r="J42" i="20" s="1"/>
  <c r="I31" i="20"/>
  <c r="J31" i="20" s="1"/>
  <c r="I54" i="20"/>
  <c r="J54" i="20" s="1"/>
  <c r="I12" i="20"/>
  <c r="J12" i="20" s="1"/>
  <c r="I36" i="20"/>
  <c r="J36" i="20" s="1"/>
  <c r="H57" i="20"/>
  <c r="I57" i="20" s="1"/>
  <c r="J57" i="20" s="1"/>
  <c r="K4" i="20" l="1"/>
  <c r="L4" i="20" s="1"/>
  <c r="K5" i="20" l="1"/>
  <c r="L5" i="20" s="1"/>
  <c r="K6" i="20" l="1"/>
  <c r="L6" i="20" s="1"/>
  <c r="K7" i="20" l="1"/>
  <c r="L7" i="20" s="1"/>
  <c r="K8" i="20" l="1"/>
  <c r="L8" i="20" s="1"/>
  <c r="K9" i="20" l="1"/>
  <c r="L9" i="20" s="1"/>
  <c r="K10" i="20" l="1"/>
  <c r="L10" i="20" s="1"/>
  <c r="K11" i="20" l="1"/>
  <c r="L11" i="20" s="1"/>
  <c r="K12" i="20" l="1"/>
  <c r="L12" i="20" s="1"/>
  <c r="K13" i="20" l="1"/>
  <c r="L13" i="20" s="1"/>
  <c r="K14" i="20" l="1"/>
  <c r="L14" i="20" s="1"/>
  <c r="K15" i="20" l="1"/>
  <c r="L15" i="20" s="1"/>
  <c r="K16" i="20" l="1"/>
  <c r="L16" i="20" s="1"/>
  <c r="K17" i="20" l="1"/>
  <c r="L17" i="20" s="1"/>
  <c r="K18" i="20" l="1"/>
  <c r="L18" i="20" s="1"/>
  <c r="K19" i="20" l="1"/>
  <c r="L19" i="20" s="1"/>
  <c r="K20" i="20" l="1"/>
  <c r="L20" i="20" s="1"/>
  <c r="K21" i="20" l="1"/>
  <c r="L21" i="20" s="1"/>
  <c r="K22" i="20" l="1"/>
  <c r="K23" i="20" s="1"/>
  <c r="L22" i="20" l="1"/>
  <c r="L23" i="20"/>
  <c r="K24" i="20"/>
  <c r="L24" i="20" l="1"/>
  <c r="K25" i="20"/>
  <c r="L25" i="20" l="1"/>
  <c r="K26" i="20"/>
  <c r="L26" i="20" l="1"/>
  <c r="K27" i="20"/>
  <c r="L27" i="20" l="1"/>
  <c r="K28" i="20"/>
  <c r="L28" i="20" l="1"/>
  <c r="U7" i="18" s="1"/>
  <c r="K29" i="20"/>
  <c r="H13" i="18" l="1"/>
  <c r="I13" i="18" s="1"/>
  <c r="J13" i="18" s="1"/>
  <c r="H17" i="18"/>
  <c r="I17" i="18" s="1"/>
  <c r="J17" i="18" s="1"/>
  <c r="H21" i="18"/>
  <c r="I21" i="18" s="1"/>
  <c r="J21" i="18" s="1"/>
  <c r="H25" i="18"/>
  <c r="I25" i="18" s="1"/>
  <c r="J25" i="18" s="1"/>
  <c r="H29" i="18"/>
  <c r="I29" i="18" s="1"/>
  <c r="J29" i="18" s="1"/>
  <c r="H33" i="18"/>
  <c r="I33" i="18" s="1"/>
  <c r="J33" i="18" s="1"/>
  <c r="H37" i="18"/>
  <c r="I37" i="18" s="1"/>
  <c r="J37" i="18" s="1"/>
  <c r="H41" i="18"/>
  <c r="I41" i="18" s="1"/>
  <c r="J41" i="18" s="1"/>
  <c r="H45" i="18"/>
  <c r="I45" i="18" s="1"/>
  <c r="J45" i="18" s="1"/>
  <c r="H49" i="18"/>
  <c r="I49" i="18" s="1"/>
  <c r="J49" i="18" s="1"/>
  <c r="H53" i="18"/>
  <c r="I53" i="18" s="1"/>
  <c r="J53" i="18" s="1"/>
  <c r="H5" i="18"/>
  <c r="I5" i="18" s="1"/>
  <c r="J5" i="18" s="1"/>
  <c r="H3" i="18"/>
  <c r="I3" i="18" s="1"/>
  <c r="J3" i="18" s="1"/>
  <c r="K3" i="18" s="1"/>
  <c r="H10" i="18"/>
  <c r="I10" i="18" s="1"/>
  <c r="J10" i="18" s="1"/>
  <c r="H14" i="18"/>
  <c r="I14" i="18" s="1"/>
  <c r="J14" i="18" s="1"/>
  <c r="H18" i="18"/>
  <c r="I18" i="18" s="1"/>
  <c r="J18" i="18" s="1"/>
  <c r="H22" i="18"/>
  <c r="I22" i="18" s="1"/>
  <c r="J22" i="18" s="1"/>
  <c r="H26" i="18"/>
  <c r="I26" i="18" s="1"/>
  <c r="J26" i="18" s="1"/>
  <c r="H30" i="18"/>
  <c r="I30" i="18" s="1"/>
  <c r="J30" i="18" s="1"/>
  <c r="H34" i="18"/>
  <c r="I34" i="18" s="1"/>
  <c r="J34" i="18" s="1"/>
  <c r="H38" i="18"/>
  <c r="I38" i="18" s="1"/>
  <c r="J38" i="18" s="1"/>
  <c r="H42" i="18"/>
  <c r="I42" i="18" s="1"/>
  <c r="J42" i="18" s="1"/>
  <c r="H46" i="18"/>
  <c r="I46" i="18" s="1"/>
  <c r="J46" i="18" s="1"/>
  <c r="H50" i="18"/>
  <c r="I50" i="18" s="1"/>
  <c r="J50" i="18" s="1"/>
  <c r="H54" i="18"/>
  <c r="I54" i="18" s="1"/>
  <c r="J54" i="18" s="1"/>
  <c r="H6" i="18"/>
  <c r="I6" i="18" s="1"/>
  <c r="J6" i="18" s="1"/>
  <c r="H11" i="18"/>
  <c r="I11" i="18" s="1"/>
  <c r="J11" i="18" s="1"/>
  <c r="H15" i="18"/>
  <c r="I15" i="18" s="1"/>
  <c r="J15" i="18" s="1"/>
  <c r="H19" i="18"/>
  <c r="I19" i="18" s="1"/>
  <c r="J19" i="18" s="1"/>
  <c r="H23" i="18"/>
  <c r="I23" i="18" s="1"/>
  <c r="J23" i="18" s="1"/>
  <c r="H27" i="18"/>
  <c r="I27" i="18" s="1"/>
  <c r="J27" i="18" s="1"/>
  <c r="H31" i="18"/>
  <c r="I31" i="18" s="1"/>
  <c r="J31" i="18" s="1"/>
  <c r="H35" i="18"/>
  <c r="I35" i="18" s="1"/>
  <c r="J35" i="18" s="1"/>
  <c r="H39" i="18"/>
  <c r="I39" i="18" s="1"/>
  <c r="J39" i="18" s="1"/>
  <c r="H43" i="18"/>
  <c r="I43" i="18" s="1"/>
  <c r="J43" i="18" s="1"/>
  <c r="H47" i="18"/>
  <c r="I47" i="18" s="1"/>
  <c r="J47" i="18" s="1"/>
  <c r="H51" i="18"/>
  <c r="I51" i="18" s="1"/>
  <c r="J51" i="18" s="1"/>
  <c r="H9" i="18"/>
  <c r="I9" i="18" s="1"/>
  <c r="J9" i="18" s="1"/>
  <c r="H7" i="18"/>
  <c r="I7" i="18" s="1"/>
  <c r="J7" i="18" s="1"/>
  <c r="H12" i="18"/>
  <c r="I12" i="18" s="1"/>
  <c r="J12" i="18" s="1"/>
  <c r="H16" i="18"/>
  <c r="I16" i="18" s="1"/>
  <c r="J16" i="18" s="1"/>
  <c r="H20" i="18"/>
  <c r="I20" i="18" s="1"/>
  <c r="J20" i="18" s="1"/>
  <c r="H24" i="18"/>
  <c r="I24" i="18" s="1"/>
  <c r="J24" i="18" s="1"/>
  <c r="H28" i="18"/>
  <c r="I28" i="18" s="1"/>
  <c r="J28" i="18" s="1"/>
  <c r="H32" i="18"/>
  <c r="I32" i="18" s="1"/>
  <c r="J32" i="18" s="1"/>
  <c r="H36" i="18"/>
  <c r="I36" i="18" s="1"/>
  <c r="J36" i="18" s="1"/>
  <c r="H40" i="18"/>
  <c r="I40" i="18" s="1"/>
  <c r="J40" i="18" s="1"/>
  <c r="H44" i="18"/>
  <c r="I44" i="18" s="1"/>
  <c r="J44" i="18" s="1"/>
  <c r="H48" i="18"/>
  <c r="I48" i="18" s="1"/>
  <c r="J48" i="18" s="1"/>
  <c r="H52" i="18"/>
  <c r="I52" i="18" s="1"/>
  <c r="J52" i="18" s="1"/>
  <c r="H4" i="18"/>
  <c r="I4" i="18" s="1"/>
  <c r="J4" i="18" s="1"/>
  <c r="H8" i="18"/>
  <c r="I8" i="18" s="1"/>
  <c r="J8" i="18" s="1"/>
  <c r="L29" i="20"/>
  <c r="K30" i="20"/>
  <c r="K4" i="18" l="1"/>
  <c r="K5" i="18" s="1"/>
  <c r="K6" i="18" s="1"/>
  <c r="K7" i="18" s="1"/>
  <c r="K8" i="18" s="1"/>
  <c r="K9" i="18" s="1"/>
  <c r="K10" i="18" s="1"/>
  <c r="K11" i="18" s="1"/>
  <c r="K12" i="18" s="1"/>
  <c r="K13" i="18" s="1"/>
  <c r="K14" i="18" s="1"/>
  <c r="K15" i="18" s="1"/>
  <c r="K16" i="18" s="1"/>
  <c r="K17" i="18" s="1"/>
  <c r="K18" i="18" s="1"/>
  <c r="K19" i="18" s="1"/>
  <c r="K20" i="18" s="1"/>
  <c r="L30" i="20"/>
  <c r="K31" i="20"/>
  <c r="L20" i="18" l="1"/>
  <c r="K21" i="18"/>
  <c r="L21" i="18" s="1"/>
  <c r="L31" i="20"/>
  <c r="K32" i="20"/>
  <c r="K22" i="18" l="1"/>
  <c r="L22" i="18" s="1"/>
  <c r="L32" i="20"/>
  <c r="K33" i="20"/>
  <c r="K23" i="18" l="1"/>
  <c r="L23" i="18" s="1"/>
  <c r="L33" i="20"/>
  <c r="K34" i="20"/>
  <c r="K24" i="18" l="1"/>
  <c r="L24" i="18" s="1"/>
  <c r="L34" i="20"/>
  <c r="K35" i="20"/>
  <c r="K25" i="18" l="1"/>
  <c r="L25" i="18" s="1"/>
  <c r="L35" i="20"/>
  <c r="K36" i="20"/>
  <c r="K26" i="18" l="1"/>
  <c r="L26" i="18" s="1"/>
  <c r="L36" i="20"/>
  <c r="K37" i="20"/>
  <c r="K27" i="18" l="1"/>
  <c r="L27" i="18" s="1"/>
  <c r="L37" i="20"/>
  <c r="K38" i="20"/>
  <c r="K28" i="18" l="1"/>
  <c r="L28" i="18" s="1"/>
  <c r="L38" i="20"/>
  <c r="K39" i="20"/>
  <c r="K29" i="18" l="1"/>
  <c r="L29" i="18" s="1"/>
  <c r="L39" i="20"/>
  <c r="K40" i="20"/>
  <c r="K30" i="18" l="1"/>
  <c r="L30" i="18" s="1"/>
  <c r="L40" i="20"/>
  <c r="K41" i="20"/>
  <c r="K31" i="18" l="1"/>
  <c r="L31" i="18" s="1"/>
  <c r="L41" i="20"/>
  <c r="K42" i="20"/>
  <c r="K32" i="18" l="1"/>
  <c r="L32" i="18" s="1"/>
  <c r="L42" i="20"/>
  <c r="K43" i="20"/>
  <c r="K33" i="18" l="1"/>
  <c r="L33" i="18" s="1"/>
  <c r="L43" i="20"/>
  <c r="K44" i="20"/>
  <c r="K34" i="18" l="1"/>
  <c r="L34" i="18" s="1"/>
  <c r="L44" i="20"/>
  <c r="K45" i="20"/>
  <c r="K35" i="18" l="1"/>
  <c r="L35" i="18" s="1"/>
  <c r="L45" i="20"/>
  <c r="K46" i="20"/>
  <c r="K36" i="18" l="1"/>
  <c r="L36" i="18" s="1"/>
  <c r="L46" i="20"/>
  <c r="K47" i="20"/>
  <c r="K37" i="18" l="1"/>
  <c r="L37" i="18" s="1"/>
  <c r="L47" i="20"/>
  <c r="K48" i="20"/>
  <c r="K38" i="18" l="1"/>
  <c r="L38" i="18" s="1"/>
  <c r="L48" i="20"/>
  <c r="K49" i="20"/>
  <c r="K39" i="18" l="1"/>
  <c r="L39" i="18" s="1"/>
  <c r="L49" i="20"/>
  <c r="K50" i="20"/>
  <c r="K40" i="18" l="1"/>
  <c r="L40" i="18" s="1"/>
  <c r="L50" i="20"/>
  <c r="K51" i="20"/>
  <c r="K41" i="18" l="1"/>
  <c r="L41" i="18" s="1"/>
  <c r="L51" i="20"/>
  <c r="K52" i="20"/>
  <c r="K42" i="18" l="1"/>
  <c r="L42" i="18" s="1"/>
  <c r="L52" i="20"/>
  <c r="K53" i="20"/>
  <c r="K43" i="18" l="1"/>
  <c r="L43" i="18" s="1"/>
  <c r="L53" i="20"/>
  <c r="K54" i="20"/>
  <c r="K44" i="18" l="1"/>
  <c r="L44" i="18" s="1"/>
  <c r="L54" i="20"/>
  <c r="K55" i="20"/>
  <c r="K45" i="18" l="1"/>
  <c r="L45" i="18" s="1"/>
  <c r="L55" i="20"/>
  <c r="K56" i="20"/>
  <c r="K46" i="18" l="1"/>
  <c r="L46" i="18" s="1"/>
  <c r="L56" i="20"/>
  <c r="K57" i="20"/>
  <c r="K47" i="18" l="1"/>
  <c r="L47" i="18" s="1"/>
  <c r="L57" i="20"/>
  <c r="K58" i="20"/>
  <c r="K48" i="18" l="1"/>
  <c r="L48" i="18" s="1"/>
  <c r="L58" i="20"/>
  <c r="K59" i="20"/>
  <c r="K49" i="18" l="1"/>
  <c r="L49" i="18" s="1"/>
  <c r="L59" i="20"/>
  <c r="K60" i="20"/>
  <c r="K50" i="18" l="1"/>
  <c r="L50" i="18" s="1"/>
  <c r="L60" i="20"/>
  <c r="K61" i="20"/>
  <c r="L61" i="20" s="1"/>
  <c r="K51" i="18" l="1"/>
  <c r="L51" i="18" s="1"/>
  <c r="K52" i="18" l="1"/>
  <c r="L52" i="18" s="1"/>
  <c r="K53" i="18" l="1"/>
  <c r="L53" i="18" s="1"/>
  <c r="K54" i="18" l="1"/>
  <c r="L54" i="18" s="1"/>
  <c r="K55" i="18" l="1"/>
  <c r="K56" i="18" s="1"/>
  <c r="L56" i="18" s="1"/>
  <c r="L55" i="18" l="1"/>
</calcChain>
</file>

<file path=xl/sharedStrings.xml><?xml version="1.0" encoding="utf-8"?>
<sst xmlns="http://schemas.openxmlformats.org/spreadsheetml/2006/main" count="830" uniqueCount="368">
  <si>
    <t>Site preparation prior to year 1</t>
  </si>
  <si>
    <t>Cost/Acre ($)</t>
  </si>
  <si>
    <t>Growing cost (year 3)</t>
  </si>
  <si>
    <t xml:space="preserve">Custom nematicide application </t>
  </si>
  <si>
    <t xml:space="preserve">Total </t>
  </si>
  <si>
    <t>Planting year (year 1)</t>
  </si>
  <si>
    <t xml:space="preserve">Fertilizer </t>
  </si>
  <si>
    <t>Growing cost (year 4)</t>
  </si>
  <si>
    <t>Mowing (3 times)</t>
  </si>
  <si>
    <t>Growing cost (year 2)</t>
  </si>
  <si>
    <t>Growing cost (year 5)</t>
  </si>
  <si>
    <t>Hand Fertilizer</t>
  </si>
  <si>
    <t>Total Establishment Cost</t>
  </si>
  <si>
    <t xml:space="preserve">Standard Orchard Cost Per Acre </t>
  </si>
  <si>
    <t xml:space="preserve">Time </t>
  </si>
  <si>
    <t xml:space="preserve">Labor </t>
  </si>
  <si>
    <t xml:space="preserve">Material </t>
  </si>
  <si>
    <t xml:space="preserve">           Equipment</t>
  </si>
  <si>
    <t xml:space="preserve">               Total </t>
  </si>
  <si>
    <t>Operation</t>
  </si>
  <si>
    <t>Cash (Hrs/Acre)</t>
  </si>
  <si>
    <t>Cash ($/Hour)</t>
  </si>
  <si>
    <t>Cash ($/Acre)</t>
  </si>
  <si>
    <t>Non-Cash ($/Hour)</t>
  </si>
  <si>
    <t>Non-Cash ($/Acre)</t>
  </si>
  <si>
    <t>Pruning  (every 2 years)*</t>
  </si>
  <si>
    <t>Pruning: Chain Saw &amp; hand tools*</t>
  </si>
  <si>
    <t xml:space="preserve">*Calculated as an </t>
  </si>
  <si>
    <t xml:space="preserve">Brush Disposal--85 HP Tractor </t>
  </si>
  <si>
    <t>annual cost</t>
  </si>
  <si>
    <t xml:space="preserve">Flail Chopper </t>
  </si>
  <si>
    <t>Summer Hedging--85 HP Tractor*</t>
  </si>
  <si>
    <t>Summer Hedging--Sickle Bar</t>
  </si>
  <si>
    <t xml:space="preserve">60 HP Tractor </t>
  </si>
  <si>
    <t xml:space="preserve">Rotary Mower </t>
  </si>
  <si>
    <t>Crop Protection (4 times)</t>
  </si>
  <si>
    <t>85 HP Tractor</t>
  </si>
  <si>
    <t>Orchard Sprayer</t>
  </si>
  <si>
    <t>Total Insecticide</t>
  </si>
  <si>
    <t>Total Fungicide</t>
  </si>
  <si>
    <t>Total Plant Growth Regultor</t>
  </si>
  <si>
    <t>Borer Control (every 4th year)</t>
  </si>
  <si>
    <t>Herbicide (2 times, 50% land treated)</t>
  </si>
  <si>
    <t xml:space="preserve">60 HP Used Tractor </t>
  </si>
  <si>
    <t>Weed Sprayer</t>
  </si>
  <si>
    <t xml:space="preserve">Total Herbicide </t>
  </si>
  <si>
    <t>60 HP Tractor (Nitrogen Application)</t>
  </si>
  <si>
    <t xml:space="preserve">** 2 tons/acre, every </t>
  </si>
  <si>
    <t>Spin Spreader</t>
  </si>
  <si>
    <t>5th year</t>
  </si>
  <si>
    <t>60 HP Tractor (Potash Application)</t>
  </si>
  <si>
    <t>Total Nitrogen</t>
  </si>
  <si>
    <t>Total Potash</t>
  </si>
  <si>
    <t>60 HP Tractor (Lime Application)**</t>
  </si>
  <si>
    <t>Total Lime</t>
  </si>
  <si>
    <t xml:space="preserve">Bee Rental </t>
  </si>
  <si>
    <t>Pest Management Service @ $25/A</t>
  </si>
  <si>
    <t>Pickup (40 miles/A @ 0.60/mile)</t>
  </si>
  <si>
    <t xml:space="preserve">Total Operating Cost </t>
  </si>
  <si>
    <t>Harvest</t>
  </si>
  <si>
    <t>85 HP Tractor (Ethrel Application)</t>
  </si>
  <si>
    <t xml:space="preserve">Orchard Sprayer </t>
  </si>
  <si>
    <t>Total Ethrel</t>
  </si>
  <si>
    <t>Double Incline Shaker 1*</t>
  </si>
  <si>
    <t>*30 seconds per tree</t>
  </si>
  <si>
    <t>Double Incline Shaker 2</t>
  </si>
  <si>
    <t xml:space="preserve"> by 136 trees/acre</t>
  </si>
  <si>
    <t>60 HP Tractor</t>
  </si>
  <si>
    <t>60 HP Used Tractor</t>
  </si>
  <si>
    <t>Skimmer (or Miscellaneous Labor)</t>
  </si>
  <si>
    <t>Shipping (.016 cent/pound*average yield)</t>
  </si>
  <si>
    <t>Cooling Pad Operation ($.006/lb*Avg Yield)</t>
  </si>
  <si>
    <t>Tart Cherry Assessment ($.005/lb*Avg Yield)</t>
  </si>
  <si>
    <t>Management and Labor Supervision</t>
  </si>
  <si>
    <t>Interest on operating capital @ 8%</t>
  </si>
  <si>
    <t>Property Tax</t>
  </si>
  <si>
    <t>Production Costs/Acre</t>
  </si>
  <si>
    <t>Total Cash and Non-Cash Costs/Acre</t>
  </si>
  <si>
    <t>Irrigation System</t>
  </si>
  <si>
    <t>High-Density Orchard Cost Per Acre</t>
  </si>
  <si>
    <t xml:space="preserve">Pruning </t>
  </si>
  <si>
    <t>Pruning: Hand tools*</t>
  </si>
  <si>
    <t>*~1.3 minutes per tree</t>
  </si>
  <si>
    <t xml:space="preserve">**Every 4th year: </t>
  </si>
  <si>
    <t xml:space="preserve">Calculated as an annual </t>
  </si>
  <si>
    <t>Summer Tipping--85 HP Tractor**</t>
  </si>
  <si>
    <t>cost</t>
  </si>
  <si>
    <t>Summer Tipping--Sickle Bar**</t>
  </si>
  <si>
    <t xml:space="preserve">Check these costs </t>
  </si>
  <si>
    <t xml:space="preserve">*Raised by 25% from </t>
  </si>
  <si>
    <t>Total Insecticide*</t>
  </si>
  <si>
    <t>Standard</t>
  </si>
  <si>
    <t>Total Fungicide*</t>
  </si>
  <si>
    <t>Total Plant Growth Regultor*</t>
  </si>
  <si>
    <t xml:space="preserve">*10 seconds per trunk </t>
  </si>
  <si>
    <t>*Increase by 2 times</t>
  </si>
  <si>
    <t>from standard</t>
  </si>
  <si>
    <t>** 2 tons/acre,</t>
  </si>
  <si>
    <t xml:space="preserve"> every 5th year</t>
  </si>
  <si>
    <t>* Increased</t>
  </si>
  <si>
    <t>by 3</t>
  </si>
  <si>
    <t>Total Nitrogen*</t>
  </si>
  <si>
    <t>Total Potash*</t>
  </si>
  <si>
    <t xml:space="preserve">*12.5 seconds per </t>
  </si>
  <si>
    <t>tree by 453 trees/acre</t>
  </si>
  <si>
    <t>Equipment</t>
  </si>
  <si>
    <t>Continuous Harvester*</t>
  </si>
  <si>
    <t xml:space="preserve">Year </t>
  </si>
  <si>
    <t>Age</t>
  </si>
  <si>
    <t xml:space="preserve">Yield </t>
  </si>
  <si>
    <t xml:space="preserve">Age </t>
  </si>
  <si>
    <t xml:space="preserve">Price </t>
  </si>
  <si>
    <t xml:space="preserve">Cost </t>
  </si>
  <si>
    <t xml:space="preserve">Land Control Cost not included in this analysis </t>
  </si>
  <si>
    <t>Yield at full production</t>
  </si>
  <si>
    <t>lbs/acre</t>
  </si>
  <si>
    <t>Target rate of return</t>
  </si>
  <si>
    <t>/annum</t>
  </si>
  <si>
    <t>/lb</t>
  </si>
  <si>
    <t>Yield as a percent of yield at full production</t>
  </si>
  <si>
    <t xml:space="preserve">Defender System </t>
  </si>
  <si>
    <t>Cash requirments to establish block</t>
  </si>
  <si>
    <t>Cash requirement as a % of requirment at full production</t>
  </si>
  <si>
    <t>Discounted NCF ($'s stated in value in pre-estalishment year)</t>
  </si>
  <si>
    <t>Yield (lb/acre)</t>
  </si>
  <si>
    <t>Price ($/lb)</t>
  </si>
  <si>
    <t>Gross revenue ($/acre)</t>
  </si>
  <si>
    <t>Cash required ($/acre)</t>
  </si>
  <si>
    <t>Annualized return to fixed resources (annualized NCF, $/acre)</t>
  </si>
  <si>
    <t>Net cash flow (NCF, $/acre)</t>
  </si>
  <si>
    <t>Cumulative Discounted NCF,            $ /acre</t>
  </si>
  <si>
    <t>Annual  cash requirement  @ full production</t>
  </si>
  <si>
    <t>Annual cost to bid fixed resources from challenger</t>
  </si>
  <si>
    <t>$/acre</t>
  </si>
  <si>
    <t>Annual  cash requirement @ full production</t>
  </si>
  <si>
    <t>Cash requirements as a % of requirments at full production ($/acre)</t>
  </si>
  <si>
    <t>Cash requirement to establish block ($/acre)</t>
  </si>
  <si>
    <t>Cash required + opportunity cost ($/acre)</t>
  </si>
  <si>
    <t>Challenger Analysis With Annual Returns to Fixed Resources of  Defender Charged as a Cost</t>
  </si>
  <si>
    <t>of defender</t>
  </si>
  <si>
    <t>Percent</t>
  </si>
  <si>
    <t>Yield increase for High Density to get same Annualized Net Return as Traditional System</t>
  </si>
  <si>
    <t>Target Rate of Return, %</t>
  </si>
  <si>
    <t>Cherry price ($/lb)</t>
  </si>
  <si>
    <t>First Harvest</t>
  </si>
  <si>
    <t>Peak Production</t>
  </si>
  <si>
    <t xml:space="preserve">Decline </t>
  </si>
  <si>
    <t>Pull</t>
  </si>
  <si>
    <t>Yield per Acre</t>
  </si>
  <si>
    <t>lb</t>
  </si>
  <si>
    <t>ML Yield per Acre</t>
  </si>
  <si>
    <t>Upper Yield per Acre</t>
  </si>
  <si>
    <t>Lower Yield per Acre</t>
  </si>
  <si>
    <t>Target Rate of Return</t>
  </si>
  <si>
    <t>%</t>
  </si>
  <si>
    <t>Rate of Return</t>
  </si>
  <si>
    <t>Year</t>
  </si>
  <si>
    <t>Premium</t>
  </si>
  <si>
    <t xml:space="preserve">Dollars </t>
  </si>
  <si>
    <t>Acre</t>
  </si>
  <si>
    <t>Net cash flow NCF, ($/acre)</t>
  </si>
  <si>
    <t>Cumulative Discounted NCF,            ($ /acre)</t>
  </si>
  <si>
    <t>Annualized return to fixed resources (annualized NCF, ($/acre)</t>
  </si>
  <si>
    <t>2. Defender System annualized return to fixed resources of $167 in year 28</t>
  </si>
  <si>
    <t>1. Defender System annualized return to fixed resources of $54 in year 28</t>
  </si>
  <si>
    <t>3. Defender System annualized return to fixed resources of $280 in year 28</t>
  </si>
  <si>
    <t>4. Defender System annualized return to fixed resources of $393 in year 28</t>
  </si>
  <si>
    <t>5. Challenger System set to Comparative Break-Even of Annual Average return in year 23, plus a premium of $50</t>
  </si>
  <si>
    <t>Cumulative Discounted NCF,              ($ /acre)</t>
  </si>
  <si>
    <t>HD 1</t>
  </si>
  <si>
    <t>HD 2</t>
  </si>
  <si>
    <t>HD 3</t>
  </si>
  <si>
    <t>PURPOSE, BACKGROUND, INSTRUCTIONS</t>
  </si>
  <si>
    <t>PURPOSE</t>
  </si>
  <si>
    <t>BACKGROUND</t>
  </si>
  <si>
    <t>●</t>
  </si>
  <si>
    <t>INSTRUCTIONS</t>
  </si>
  <si>
    <t>light blue</t>
  </si>
  <si>
    <t>Cells in</t>
  </si>
  <si>
    <t>may be modified without disrupting formulas.</t>
  </si>
  <si>
    <t>Tab Title</t>
  </si>
  <si>
    <t>Description</t>
  </si>
  <si>
    <t>INSTRUCTIONAL STEPS</t>
  </si>
  <si>
    <t>Step 1</t>
  </si>
  <si>
    <t>Step 2</t>
  </si>
  <si>
    <t>Step 3</t>
  </si>
  <si>
    <t>Step 4</t>
  </si>
  <si>
    <t>Step 5</t>
  </si>
  <si>
    <t>Step 6</t>
  </si>
  <si>
    <t>ANALYSIS &amp; INTERPRETATION</t>
  </si>
  <si>
    <t>UNDERSTANDING YOUR RESULT</t>
  </si>
  <si>
    <t>INTERPRETATION</t>
  </si>
  <si>
    <t>PARAMETER UNCERTAINTY</t>
  </si>
  <si>
    <t>DISCLAIMER</t>
  </si>
  <si>
    <t>Loan Amt</t>
  </si>
  <si>
    <t>APR</t>
  </si>
  <si>
    <t>Loan Length (yrs)</t>
  </si>
  <si>
    <t>Payment Schedule:</t>
  </si>
  <si>
    <t>Pymt No.</t>
  </si>
  <si>
    <t>Pymt Amount</t>
  </si>
  <si>
    <t>Interest Amount</t>
  </si>
  <si>
    <t>Principal Amount</t>
  </si>
  <si>
    <t>Prn Remaining</t>
  </si>
  <si>
    <t>Yr 1</t>
  </si>
  <si>
    <t>TOTALS</t>
  </si>
  <si>
    <t>Interest</t>
  </si>
  <si>
    <t>Principal</t>
  </si>
  <si>
    <t>Loan Amount</t>
  </si>
  <si>
    <t xml:space="preserve">Loan Schedule: </t>
  </si>
  <si>
    <t>.</t>
  </si>
  <si>
    <t>New Orchard Equipment</t>
  </si>
  <si>
    <t>Harvested Acres</t>
  </si>
  <si>
    <t xml:space="preserve"> Description </t>
  </si>
  <si>
    <t>Yr</t>
  </si>
  <si>
    <t>Purchase
 Price</t>
  </si>
  <si>
    <t>Yrs 
Life</t>
  </si>
  <si>
    <t>Salvage 
Value</t>
  </si>
  <si>
    <t>PV of Salvage 
in today's dollars</t>
  </si>
  <si>
    <t>Interest 
Rate</t>
  </si>
  <si>
    <t>Annual 
Machinery Cost</t>
  </si>
  <si>
    <t>Insurance</t>
  </si>
  <si>
    <t xml:space="preserve"> Taxes </t>
  </si>
  <si>
    <t>Total</t>
  </si>
  <si>
    <t>85 HP 2WD Tractor</t>
  </si>
  <si>
    <t>2007</t>
  </si>
  <si>
    <t>60 HP 2WD Tractor</t>
  </si>
  <si>
    <t>60 HP 2WD Used Tractor</t>
  </si>
  <si>
    <t>Orch.Sprayer 500 G</t>
  </si>
  <si>
    <t>Weed Sprayer 100 G</t>
  </si>
  <si>
    <t xml:space="preserve">Rotary mower </t>
  </si>
  <si>
    <t>Flail Chopper</t>
  </si>
  <si>
    <t>Spin/Spreader -3PT</t>
  </si>
  <si>
    <t>Sickle bar</t>
  </si>
  <si>
    <t xml:space="preserve">Field Disc </t>
  </si>
  <si>
    <t>TOTAL</t>
  </si>
  <si>
    <t xml:space="preserve">Description </t>
  </si>
  <si>
    <t xml:space="preserve">Yr </t>
  </si>
  <si>
    <t>Hours for Tart
Cherries</t>
  </si>
  <si>
    <t>Taxes</t>
  </si>
  <si>
    <t>Total.
Oper.</t>
  </si>
  <si>
    <t>Total 
Costs/hr</t>
  </si>
  <si>
    <t>Field Disc</t>
  </si>
  <si>
    <t>2. Annual Machinery Cost from table above divided by total hours used.</t>
  </si>
  <si>
    <t>3. See formulas from ASAE, tractor functions rescaled to 6000 hours</t>
  </si>
  <si>
    <t>4. Assumes diesel cost of $4.00/gallon</t>
  </si>
  <si>
    <t>Yr 2</t>
  </si>
  <si>
    <r>
      <t>Total 
Hours Used</t>
    </r>
    <r>
      <rPr>
        <vertAlign val="superscript"/>
        <sz val="12"/>
        <rFont val="Cambria"/>
        <family val="1"/>
        <scheme val="major"/>
      </rPr>
      <t>1</t>
    </r>
  </si>
  <si>
    <r>
      <t>Capital 
Recovery</t>
    </r>
    <r>
      <rPr>
        <vertAlign val="superscript"/>
        <sz val="12"/>
        <rFont val="Cambria"/>
        <family val="1"/>
        <scheme val="major"/>
      </rPr>
      <t>2</t>
    </r>
  </si>
  <si>
    <r>
      <t>Repairs</t>
    </r>
    <r>
      <rPr>
        <vertAlign val="superscript"/>
        <sz val="12"/>
        <rFont val="Cambria"/>
        <family val="1"/>
        <scheme val="major"/>
      </rPr>
      <t>3</t>
    </r>
    <r>
      <rPr>
        <sz val="12"/>
        <rFont val="Cambria"/>
        <family val="1"/>
        <scheme val="major"/>
      </rPr>
      <t xml:space="preserve"> </t>
    </r>
  </si>
  <si>
    <r>
      <t xml:space="preserve"> Fuel &amp; 
Lube</t>
    </r>
    <r>
      <rPr>
        <vertAlign val="superscript"/>
        <sz val="12"/>
        <rFont val="Cambria"/>
        <family val="1"/>
        <scheme val="major"/>
      </rPr>
      <t>4</t>
    </r>
  </si>
  <si>
    <t>Continuous Harvester</t>
  </si>
  <si>
    <r>
      <t>Fuel &amp; 
Lube</t>
    </r>
    <r>
      <rPr>
        <vertAlign val="superscript"/>
        <sz val="12"/>
        <rFont val="Cambria"/>
        <family val="1"/>
        <scheme val="major"/>
      </rPr>
      <t>4</t>
    </r>
  </si>
  <si>
    <t>1. Assumes that the other half of the farm uses the equipment equally, except for the shake, of which 75% is allocated to cherries and the Orchard Sprayer.</t>
  </si>
  <si>
    <t>Continuous Used Harvester</t>
  </si>
  <si>
    <t>Orchard removal &amp; clean-up</t>
  </si>
  <si>
    <t xml:space="preserve">Plowing and permanent seeding </t>
  </si>
  <si>
    <t xml:space="preserve">Ground preparation </t>
  </si>
  <si>
    <t xml:space="preserve">Marking and surveying </t>
  </si>
  <si>
    <t xml:space="preserve">Trees </t>
  </si>
  <si>
    <t xml:space="preserve">Custom tree planting </t>
  </si>
  <si>
    <t xml:space="preserve">Pest control spray </t>
  </si>
  <si>
    <t xml:space="preserve">Tree Replacement </t>
  </si>
  <si>
    <t xml:space="preserve">Mulch application </t>
  </si>
  <si>
    <t xml:space="preserve">Herbicide spray </t>
  </si>
  <si>
    <t xml:space="preserve">Mouse control </t>
  </si>
  <si>
    <t>Deer control</t>
  </si>
  <si>
    <t xml:space="preserve">Management </t>
  </si>
  <si>
    <t xml:space="preserve">Mowing </t>
  </si>
  <si>
    <t xml:space="preserve">Deer control </t>
  </si>
  <si>
    <t>Mowing</t>
  </si>
  <si>
    <t>Mouse control</t>
  </si>
  <si>
    <t xml:space="preserve">Pruning  </t>
  </si>
  <si>
    <t>Crop Protection</t>
  </si>
  <si>
    <t xml:space="preserve">Pickup </t>
  </si>
  <si>
    <t xml:space="preserve">Pest Management Service </t>
  </si>
  <si>
    <t>60 HP Tractor (Lime Application)</t>
  </si>
  <si>
    <t xml:space="preserve">Orchard removal &amp; clean-up </t>
  </si>
  <si>
    <t>Plowing and permanent seeding</t>
  </si>
  <si>
    <t>Summer Tipping--85 HP Tractor</t>
  </si>
  <si>
    <t>Summer Tipping--Sickle Bar</t>
  </si>
  <si>
    <t>Pruning</t>
  </si>
  <si>
    <t>Herbicide</t>
  </si>
  <si>
    <t xml:space="preserve">Any decisions made with the assistance of this decision support tool, are made at the risk of the user. </t>
  </si>
  <si>
    <t>Picking Labor</t>
  </si>
  <si>
    <t>Hours for Chestnut</t>
  </si>
  <si>
    <t>2013</t>
  </si>
  <si>
    <t>Prices in 2007</t>
  </si>
  <si>
    <t>Purchase
 Price in 2013 value</t>
  </si>
  <si>
    <t>Post-Harvest Processing</t>
  </si>
  <si>
    <t>Pruning every year every tree</t>
  </si>
  <si>
    <t>Weed Sprayer 2x</t>
  </si>
  <si>
    <t>Total Nitrogen N 100lbs</t>
  </si>
  <si>
    <t>Phos p205 84lbs</t>
  </si>
  <si>
    <t>Spin Spreader 2x application</t>
  </si>
  <si>
    <t xml:space="preserve">60 HP Used Tractor 2sprays 3mph </t>
  </si>
  <si>
    <t>Vacuum Harvester FACMA</t>
  </si>
  <si>
    <t>Fork lift operator</t>
  </si>
  <si>
    <t>Skid Steer or Bob Cat</t>
  </si>
  <si>
    <t>Transportation haul boxes to Clarksville 100 miles</t>
  </si>
  <si>
    <t>Trans labor</t>
  </si>
  <si>
    <t>Mowing same as mature</t>
  </si>
  <si>
    <t>PH adjustment</t>
  </si>
  <si>
    <t>Total Potash k20 =108lbs</t>
  </si>
  <si>
    <t xml:space="preserve">Bin Rental </t>
  </si>
  <si>
    <t>1. Assumes that the other half of the farm uses the equipment equally, except for the Vacuum, of which 100% is allocated to Chestnuts .</t>
  </si>
  <si>
    <t>60 HP Used Tractor Fork Lift</t>
  </si>
  <si>
    <t xml:space="preserve">Water Well </t>
  </si>
  <si>
    <t>Tree Planting  (Fall)</t>
  </si>
  <si>
    <t>Pruning Basket</t>
  </si>
  <si>
    <t>Irrigation Energy</t>
  </si>
  <si>
    <t>Total Herbicide 1/3 area</t>
  </si>
  <si>
    <t xml:space="preserve">Real Estate  Tax </t>
  </si>
  <si>
    <t>Land Opportunity Cost</t>
  </si>
  <si>
    <t>Chestnut Orchard Model</t>
  </si>
  <si>
    <t>Review and update, if necessary, the blue cell (Annual Dollar Premium) in the Chestnut Orchard Model tab. If you are highly uncertain of the parameters of the Chestnut orchard system then increase the dollar value from its initial value of $50/Acre. If you are less concerned over the uncertain parameters of the Chestnut orchard system, leave the $50/Acre value in place or decrease the value.</t>
  </si>
  <si>
    <t>As part of a larger Michigan State University research initiative, this project evaluates the profitability of various orchard systems in Michigan and the expected profitability of a Chestnut orchard system.</t>
  </si>
  <si>
    <t>Defender Orchard Model</t>
  </si>
  <si>
    <t>Develop an economic decision support tool for individual growers to compare potential benefits to their operation from Chestnut orchard systems versus other competeing crops such as cherries and apples.  The program can also be use to compare different chestnut growing systems.</t>
  </si>
  <si>
    <t>The output of this research includes a Michigan State University Extension Fact Sheet that documents the supporting parameters used in the economic analysis.</t>
  </si>
  <si>
    <t>The model first calculates the sum of the future annual cash flows (gross revenues less cash outflow requirements) over the chestnut orchards economic life in terms of their present values. The future net cash flow values are discounted (converted) to their current values using an estimated target rate of return as a discount factor. Then the model transforms the sum of the discounted (converted) cash flows over the economic life into an average annual net return. Blue cells next to the calculation (Price, Target Rate of Return, Yield at Full Production) may be modified to adjust the chestnut orchard model. Cells that are not blue contain formulas. Some of the non-blue cells may be modified by changing information in either the Chestnut Cost to establish, Chestnut Cost Per Acre, or Chestnut Machinery Cost tabs.</t>
  </si>
  <si>
    <t xml:space="preserve">Chestnut Orchard Establishment Cost </t>
  </si>
  <si>
    <t xml:space="preserve">Chestnut Orchard Cost Per Acre </t>
  </si>
  <si>
    <t>Annual Equipment Cost for the Chestnut Orchard System</t>
  </si>
  <si>
    <t>Hourly Equipment Cost for the Chestnut Orchard System</t>
  </si>
  <si>
    <t>Defender Orchard System Model</t>
  </si>
  <si>
    <t>Chestnut Orchard System Model</t>
  </si>
  <si>
    <t>Real Estate Taxes</t>
  </si>
  <si>
    <t>Real Estate Tax</t>
  </si>
  <si>
    <t>Defender Crop Yield at full production</t>
  </si>
  <si>
    <t>Annual Premium above or better than defender crop</t>
  </si>
  <si>
    <t>Annual cost to bid fixed resources from defender(25yrs)</t>
  </si>
  <si>
    <t xml:space="preserve">With the uncertainty surrounding the full production potential of the chestnut orchard system, this model assumes a range of yields that are plausible and solves for the comparative break-even yield necessary to bid the fixed resource away from the Defender orchard system. </t>
  </si>
  <si>
    <t xml:space="preserve">There is an additional level of capital investment required with a chestnuts orchard system. It is possible to examine the capital cost to transition by determining the amortization cost of the new capital, allocating these costs over the bearing acres of chestnuts, and including that cost in the estimated average annual cost per acre. </t>
  </si>
  <si>
    <t>Although the initial assumptions are based on the data available for a chestnut orchard system, there is and should be some disagreement among stakeholders on the parameters assumed and results obtained. For this reason and others, this excel based decision support tool is flexible in that an individual grower may modify the assumptions described and determine for their own operation what the results need to be in order to obtain a comparative break-even and maintain profitability.</t>
  </si>
  <si>
    <t xml:space="preserve">To solve for comparative break-even yield at full production for the Chestnut orchard system, make sure you are within the Chestnut Orchard Model tab. Place your cursor on the yellow cell L28 and click the cursor once. Next click on the Data tab along the top of your screen. While you are still in the Datatab click on the drop down icon called "What-If Analysis".Within the drop down list of the "What-If Analysis", select the icon called "Goal Seek".  </t>
  </si>
  <si>
    <t xml:space="preserve">You are now ready to calculate the comparative break-even yield at full production for your Chestnut orchard system. Click "Okay" and within the "Goal Seek" pop up table and click "Okay" again when a second "Goal Seek" icon appears. Now move to the Analysis &amp; Interpretation Tab for a better understanding of what your results mean.   </t>
  </si>
  <si>
    <t>Step 7</t>
  </si>
  <si>
    <t>The Chestnut orchard, over its economic life, must generate an annual cash flow that covers the annual net return of the defender orchard plus an annual dollar premium, if needed, to cover the uncertainty of certain parameters of the chestnut orchard system. The blue cell next to the calculation (Annual Dollar Premium) may be modified to a higher or lower dollar amount to account for the uncertainty of the Chestnut orchard system. The cell outlined in red (Yield at Full Production) is the value that you will SOLVE for in the analysis. Cells that are not blue contain formulas. Some of the non-blue cells may be modified by changing information in either the Defender Cost to Establish, Defender Cost Per Acre, or defender Machinery Cost tabs.</t>
  </si>
  <si>
    <t xml:space="preserve">Review and update, if necessary, the blue cells (Price, Target Rate of Return, and Yield at Full Production) in the Chestnut Orchard Model tab. The values you input should reflect your expected average price per pound over the life of the orchard, your expected or desired percentage return rate, and your average yield during full production.  </t>
  </si>
  <si>
    <t>You can also use this same process to solve for other parameters.  You can choose different years, and choose either price or yield to solve for.   "Rate of return" can be solved for given specific yields and prices.  Be careful in changing cells that have formulas as you will effect the relationships between the chestnut orchard model and the defender orchard model.</t>
  </si>
  <si>
    <t>The decision to transition from a "defender" orchard to a Chestnut orchard is dependent upon the ability to obtain a certain level of production and price that maintains your existing annual net return, while also compensating you for the additional risk associated with the lack of experience of utilizing the Chestnut system. If the overall return with the Chestnut orchard system is equivalent to the return of the "defender" orchard system and you receive an additional dollar amount as compensation for the risk, will your fixed resource, an orchard site, be bid away from the "defender" orchard system and planted to a Chestnut orchard system?</t>
  </si>
  <si>
    <t>After you have click on the "Goal Seek" icon, a pop up table entitled "Goal Seek" should appear on your screen. If everything is working correctly, there should be three input boxes with the top one, "Set Cell",already filled in for you with L28. If the input box next to "Set Cell" is not filled in, place your cursor in the input box to the right of "Set Cell", click once and then move your cursor to the yellow cell L28 and click once. If the input box next to "Set Cell" is filled in with L28, place your cursor in the input box to the right of "To Value" and enter a 0. Then place you cursor in the input box to the right of "By Changing Cell" and click once. Then move your cursor to the cell outline in red, U5 and click once. The input box to the right of "By Changing Cell" should now have a U5 in it.</t>
  </si>
  <si>
    <t>Once you have completed the step by step instructions on how to calculate your comparative break-even yield and price at full production, you should have a yield per acre value in cell U5 and a price in cell U3 of the Chestnuts Orchard Model tab to assist in your decision on whether or not to transition to a Chestnut orchard system. The question you must ask yourself is, "will I be able to obtain this yield per acre and price at full production with a Chestnut orchard system?"  You will also want to compare various yield senarios along with various prices of both the "defender" crop and various prices and yields of Chestnuts.  What is the long term market outlook for both crop's prices?</t>
  </si>
  <si>
    <t>Other</t>
  </si>
  <si>
    <t>Cash required + Premium ($/acre)</t>
  </si>
  <si>
    <t>Cash Required + Opportunity Cost  + Premium ($/acre)</t>
  </si>
  <si>
    <t>Gross Revenue ($/acre)</t>
  </si>
  <si>
    <t>Net Cash Flow NCF, ($/acre)</t>
  </si>
  <si>
    <t>Annualized Return to Fixed Resources (annualized NCF, ($/acre)</t>
  </si>
  <si>
    <t>Provide an economic analysis of the potential for Chestnut orchard system compared to conventional tart cherry production.</t>
  </si>
  <si>
    <t xml:space="preserve">Irrigation Drip </t>
  </si>
  <si>
    <t>Review and update, if necessary, the cost of production tabs, Chestnut Cost to Establish, Chestnut Cost Per Acre, Chestnut Machinery Cost, Defender Cost to Establish,  Defender Cost Per Acre, and Defender Machinery Cost to your operations effective costs. Do the costs you input, now reflect your existing defender orchard costs to establish and annual cost per acre? Do the cost for the Chestnut orchard system reflect your best estimate of the cost to establish and the annual cost per acre?</t>
  </si>
  <si>
    <t xml:space="preserve">This program is supported in part by Project GREEEN.  </t>
  </si>
  <si>
    <t xml:space="preserve">Deer Fence </t>
  </si>
  <si>
    <t xml:space="preserve">Herbicide spray same minus material </t>
  </si>
  <si>
    <t xml:space="preserve">Hand Fertilizer </t>
  </si>
  <si>
    <t xml:space="preserve">Total Insecticide </t>
  </si>
  <si>
    <t>Additional pesticides</t>
  </si>
  <si>
    <t>Version 1-6-13</t>
  </si>
  <si>
    <t xml:space="preserve">Operation </t>
  </si>
  <si>
    <t xml:space="preserve">(Tart Cherry) Defender Crop Price </t>
  </si>
  <si>
    <t>(Tart Cherry) Defender Orchard Cost to Establish</t>
  </si>
  <si>
    <t>(Tart Cherry) Defender Orchard Cost Per Acre</t>
  </si>
  <si>
    <t>Annual Equipment Cost Defender Orchard System (Tart Cherry)</t>
  </si>
  <si>
    <t>Hourly Equipment Cost Defender Orchard System (Tart Cherry)</t>
  </si>
  <si>
    <t>Price</t>
  </si>
  <si>
    <t xml:space="preserve"> ='Defender(TartCher)Orchard Model'!L28</t>
  </si>
  <si>
    <t>Chestnut Breakeven Yields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</si>
</sst>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
    <numFmt numFmtId="167" formatCode="&quot;$&quot;#,##0.0000"/>
    <numFmt numFmtId="168" formatCode="0.0%"/>
    <numFmt numFmtId="169" formatCode="#,##0.0"/>
    <numFmt numFmtId="170" formatCode="_(* #,##0_);_(* \(#,##0\);_(* &quot;-&quot;??_);_(@_)"/>
    <numFmt numFmtId="171" formatCode="_(&quot;$&quot;* #,##0_);_(&quot;$&quot;* \(#,##0\);_(&quot;$&quot;* &quot;-&quot;??_);_(@_)"/>
  </numFmts>
  <fonts count="31" x14ac:knownFonts="1">
    <font>
      <sz val="11"/>
      <color theme="1"/>
      <name val="Calibri"/>
      <family val="2"/>
      <scheme val="minor"/>
    </font>
    <font>
      <sz val="12"/>
      <color theme="1"/>
      <name val="Cambria"/>
      <family val="1"/>
      <scheme val="major"/>
    </font>
    <font>
      <b/>
      <sz val="11"/>
      <color theme="1"/>
      <name val="Calibri"/>
      <family val="2"/>
      <scheme val="minor"/>
    </font>
    <font>
      <sz val="12"/>
      <color theme="1"/>
      <name val="Calibri"/>
      <family val="2"/>
      <scheme val="minor"/>
    </font>
    <font>
      <b/>
      <sz val="12"/>
      <color theme="1"/>
      <name val="Calibri"/>
      <family val="2"/>
      <scheme val="minor"/>
    </font>
    <font>
      <b/>
      <sz val="12"/>
      <name val="Calibri"/>
      <family val="2"/>
      <scheme val="minor"/>
    </font>
    <font>
      <sz val="12"/>
      <name val="Calibri"/>
      <family val="2"/>
      <scheme val="minor"/>
    </font>
    <font>
      <sz val="10"/>
      <name val="Verdana"/>
      <family val="2"/>
    </font>
    <font>
      <sz val="10"/>
      <color theme="1"/>
      <name val="Arial"/>
      <family val="2"/>
    </font>
    <font>
      <sz val="11"/>
      <color theme="1"/>
      <name val="Cambria"/>
      <family val="1"/>
      <scheme val="major"/>
    </font>
    <font>
      <b/>
      <sz val="14"/>
      <color theme="1"/>
      <name val="Cambria"/>
      <family val="1"/>
      <scheme val="major"/>
    </font>
    <font>
      <sz val="11"/>
      <color theme="1"/>
      <name val="Calibri"/>
      <family val="2"/>
      <scheme val="minor"/>
    </font>
    <font>
      <b/>
      <i/>
      <sz val="14"/>
      <color theme="1"/>
      <name val="Calibri"/>
      <family val="2"/>
      <scheme val="minor"/>
    </font>
    <font>
      <b/>
      <i/>
      <sz val="16"/>
      <color theme="1"/>
      <name val="Calibri"/>
      <family val="2"/>
      <scheme val="minor"/>
    </font>
    <font>
      <b/>
      <sz val="16"/>
      <color theme="1"/>
      <name val="Calibri"/>
      <family val="2"/>
      <scheme val="minor"/>
    </font>
    <font>
      <sz val="14"/>
      <color theme="1"/>
      <name val="Calibri"/>
      <family val="2"/>
      <scheme val="minor"/>
    </font>
    <font>
      <i/>
      <sz val="12"/>
      <color theme="0"/>
      <name val="Calibri"/>
      <family val="2"/>
      <scheme val="minor"/>
    </font>
    <font>
      <b/>
      <i/>
      <sz val="12"/>
      <color theme="1"/>
      <name val="Calibri"/>
      <family val="2"/>
      <scheme val="minor"/>
    </font>
    <font>
      <b/>
      <sz val="14"/>
      <color theme="1"/>
      <name val="Calibri"/>
      <family val="2"/>
      <scheme val="minor"/>
    </font>
    <font>
      <sz val="12"/>
      <name val="Cambria"/>
      <family val="1"/>
      <scheme val="major"/>
    </font>
    <font>
      <sz val="14"/>
      <color theme="1"/>
      <name val="Cambria"/>
      <family val="1"/>
      <scheme val="major"/>
    </font>
    <font>
      <sz val="10"/>
      <color rgb="FF000000"/>
      <name val="Times New Roman"/>
      <family val="1"/>
    </font>
    <font>
      <sz val="14"/>
      <color rgb="FF000000"/>
      <name val="Calibri"/>
      <family val="2"/>
      <scheme val="minor"/>
    </font>
    <font>
      <sz val="10"/>
      <name val="Cambria"/>
      <family val="1"/>
      <scheme val="major"/>
    </font>
    <font>
      <vertAlign val="superscript"/>
      <sz val="12"/>
      <name val="Cambria"/>
      <family val="1"/>
      <scheme val="major"/>
    </font>
    <font>
      <sz val="10"/>
      <color rgb="FF000000"/>
      <name val="Cambria"/>
      <family val="1"/>
      <scheme val="major"/>
    </font>
    <font>
      <b/>
      <sz val="12"/>
      <color theme="1"/>
      <name val="Cambria"/>
      <family val="1"/>
      <scheme val="major"/>
    </font>
    <font>
      <b/>
      <sz val="12"/>
      <name val="Cambria"/>
      <family val="1"/>
      <scheme val="major"/>
    </font>
    <font>
      <sz val="11"/>
      <color rgb="FFFF0000"/>
      <name val="Calibri"/>
      <family val="2"/>
      <scheme val="minor"/>
    </font>
    <font>
      <u/>
      <sz val="11"/>
      <color theme="1"/>
      <name val="Calibri"/>
      <family val="2"/>
      <scheme val="minor"/>
    </font>
    <font>
      <b/>
      <sz val="18"/>
      <color theme="1"/>
      <name val="Cambria"/>
      <family val="1"/>
      <scheme val="major"/>
    </font>
  </fonts>
  <fills count="12">
    <fill>
      <patternFill patternType="none"/>
    </fill>
    <fill>
      <patternFill patternType="gray125"/>
    </fill>
    <fill>
      <patternFill patternType="solid">
        <fgColor rgb="FFFFD653"/>
        <bgColor indexed="64"/>
      </patternFill>
    </fill>
    <fill>
      <patternFill patternType="solid">
        <fgColor rgb="FFFFFF66"/>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theme="0" tint="-0.249977111117893"/>
        <bgColor indexed="64"/>
      </patternFill>
    </fill>
    <fill>
      <patternFill patternType="solid">
        <fgColor theme="1"/>
        <bgColor indexed="64"/>
      </patternFill>
    </fill>
    <fill>
      <patternFill patternType="solid">
        <fgColor rgb="FFF3900D"/>
        <bgColor indexed="64"/>
      </patternFill>
    </fill>
    <fill>
      <patternFill patternType="solid">
        <fgColor theme="4" tint="0.79998168889431442"/>
        <bgColor indexed="64"/>
      </patternFill>
    </fill>
  </fills>
  <borders count="50">
    <border>
      <left/>
      <right/>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bottom style="medium">
        <color auto="1"/>
      </bottom>
      <diagonal/>
    </border>
    <border>
      <left/>
      <right/>
      <top style="medium">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rgb="FFFF0000"/>
      </left>
      <right style="medium">
        <color rgb="FFFF0000"/>
      </right>
      <top style="medium">
        <color rgb="FFFF0000"/>
      </top>
      <bottom style="medium">
        <color rgb="FFFF0000"/>
      </bottom>
      <diagonal/>
    </border>
    <border>
      <left style="thin">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medium">
        <color indexed="64"/>
      </bottom>
      <diagonal/>
    </border>
  </borders>
  <cellStyleXfs count="6">
    <xf numFmtId="0" fontId="0" fillId="0" borderId="0"/>
    <xf numFmtId="0" fontId="7" fillId="0" borderId="0"/>
    <xf numFmtId="0" fontId="8" fillId="0" borderId="0"/>
    <xf numFmtId="9"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cellStyleXfs>
  <cellXfs count="603">
    <xf numFmtId="0" fontId="0" fillId="0" borderId="0" xfId="0"/>
    <xf numFmtId="0" fontId="1" fillId="0" borderId="0" xfId="0" applyFont="1"/>
    <xf numFmtId="3" fontId="0" fillId="0" borderId="0" xfId="0" applyNumberFormat="1"/>
    <xf numFmtId="10" fontId="0" fillId="0" borderId="0" xfId="0" applyNumberFormat="1"/>
    <xf numFmtId="0" fontId="3" fillId="0" borderId="0" xfId="0" applyFont="1"/>
    <xf numFmtId="0" fontId="3" fillId="0" borderId="13" xfId="0" applyFont="1" applyBorder="1"/>
    <xf numFmtId="0" fontId="3" fillId="0" borderId="14" xfId="0" applyFont="1" applyBorder="1"/>
    <xf numFmtId="0" fontId="4" fillId="0" borderId="11" xfId="0" applyFont="1" applyBorder="1"/>
    <xf numFmtId="3" fontId="3" fillId="0" borderId="10" xfId="0" applyNumberFormat="1" applyFont="1" applyBorder="1"/>
    <xf numFmtId="0" fontId="3" fillId="0" borderId="10" xfId="0" applyFont="1" applyBorder="1"/>
    <xf numFmtId="0" fontId="4" fillId="0" borderId="10" xfId="0" applyFont="1" applyBorder="1" applyAlignment="1">
      <alignment horizontal="center"/>
    </xf>
    <xf numFmtId="0" fontId="4" fillId="0" borderId="11" xfId="0" applyFont="1" applyBorder="1" applyAlignment="1"/>
    <xf numFmtId="0" fontId="4" fillId="0" borderId="14" xfId="0" applyFont="1" applyBorder="1" applyAlignment="1"/>
    <xf numFmtId="0" fontId="4" fillId="0" borderId="12" xfId="0" applyFont="1" applyBorder="1"/>
    <xf numFmtId="0" fontId="3" fillId="0" borderId="12" xfId="0" applyFont="1" applyBorder="1" applyAlignment="1">
      <alignment horizontal="center" wrapText="1"/>
    </xf>
    <xf numFmtId="0" fontId="3" fillId="0" borderId="0" xfId="0" applyFont="1" applyAlignment="1">
      <alignment wrapText="1"/>
    </xf>
    <xf numFmtId="0" fontId="3" fillId="0" borderId="3" xfId="0" applyFont="1" applyBorder="1"/>
    <xf numFmtId="2" fontId="3" fillId="0" borderId="3" xfId="0" applyNumberFormat="1" applyFont="1" applyBorder="1" applyAlignment="1">
      <alignment horizontal="center"/>
    </xf>
    <xf numFmtId="164" fontId="3" fillId="0" borderId="3" xfId="0" applyNumberFormat="1" applyFont="1" applyBorder="1" applyAlignment="1">
      <alignment horizontal="center"/>
    </xf>
    <xf numFmtId="0" fontId="3" fillId="0" borderId="4" xfId="0" applyFont="1" applyBorder="1"/>
    <xf numFmtId="2" fontId="3" fillId="0" borderId="4" xfId="0" applyNumberFormat="1" applyFont="1" applyBorder="1" applyAlignment="1">
      <alignment horizontal="center"/>
    </xf>
    <xf numFmtId="164" fontId="3" fillId="0" borderId="4" xfId="0" applyNumberFormat="1" applyFont="1" applyBorder="1" applyAlignment="1">
      <alignment horizontal="center"/>
    </xf>
    <xf numFmtId="0" fontId="3" fillId="0" borderId="12" xfId="0" applyFont="1" applyBorder="1"/>
    <xf numFmtId="164" fontId="3" fillId="0" borderId="12" xfId="0" applyNumberFormat="1" applyFont="1" applyBorder="1" applyAlignment="1">
      <alignment horizontal="center"/>
    </xf>
    <xf numFmtId="0" fontId="4" fillId="0" borderId="10" xfId="0" applyFont="1" applyBorder="1"/>
    <xf numFmtId="2" fontId="3" fillId="0" borderId="13" xfId="0" applyNumberFormat="1" applyFont="1" applyBorder="1" applyAlignment="1">
      <alignment horizontal="center"/>
    </xf>
    <xf numFmtId="164" fontId="3" fillId="0" borderId="13" xfId="0" applyNumberFormat="1" applyFont="1" applyBorder="1" applyAlignment="1">
      <alignment horizontal="center"/>
    </xf>
    <xf numFmtId="164" fontId="3" fillId="0" borderId="14" xfId="0" applyNumberFormat="1" applyFont="1" applyBorder="1" applyAlignment="1">
      <alignment horizontal="center"/>
    </xf>
    <xf numFmtId="164" fontId="3" fillId="0" borderId="10" xfId="0" applyNumberFormat="1" applyFont="1" applyBorder="1" applyAlignment="1">
      <alignment horizontal="center"/>
    </xf>
    <xf numFmtId="164" fontId="3" fillId="0" borderId="6" xfId="0" applyNumberFormat="1" applyFont="1" applyBorder="1" applyAlignment="1">
      <alignment horizontal="center"/>
    </xf>
    <xf numFmtId="2" fontId="3" fillId="0" borderId="12" xfId="0" applyNumberFormat="1" applyFont="1" applyBorder="1" applyAlignment="1">
      <alignment horizontal="center"/>
    </xf>
    <xf numFmtId="164" fontId="3" fillId="0" borderId="12" xfId="0" applyNumberFormat="1" applyFont="1" applyFill="1" applyBorder="1" applyAlignment="1">
      <alignment horizontal="center"/>
    </xf>
    <xf numFmtId="164" fontId="3" fillId="0" borderId="15" xfId="0" applyNumberFormat="1" applyFont="1" applyBorder="1" applyAlignment="1">
      <alignment horizontal="center"/>
    </xf>
    <xf numFmtId="164" fontId="3" fillId="0" borderId="4" xfId="0" applyNumberFormat="1" applyFont="1" applyFill="1" applyBorder="1" applyAlignment="1">
      <alignment horizontal="center"/>
    </xf>
    <xf numFmtId="0" fontId="3" fillId="0" borderId="5" xfId="0" applyFont="1" applyBorder="1"/>
    <xf numFmtId="0" fontId="3" fillId="0" borderId="9" xfId="0" applyFont="1" applyBorder="1"/>
    <xf numFmtId="0" fontId="3" fillId="0" borderId="7" xfId="0" applyFont="1" applyBorder="1"/>
    <xf numFmtId="2" fontId="3" fillId="0" borderId="11" xfId="0" applyNumberFormat="1" applyFont="1" applyBorder="1" applyAlignment="1">
      <alignment horizontal="center"/>
    </xf>
    <xf numFmtId="164" fontId="3" fillId="0" borderId="5" xfId="0" applyNumberFormat="1" applyFont="1" applyBorder="1" applyAlignment="1">
      <alignment horizontal="center"/>
    </xf>
    <xf numFmtId="164" fontId="3" fillId="0" borderId="9" xfId="0" applyNumberFormat="1" applyFont="1" applyBorder="1" applyAlignment="1">
      <alignment horizontal="center"/>
    </xf>
    <xf numFmtId="164" fontId="3" fillId="0" borderId="7" xfId="0" applyNumberFormat="1" applyFont="1" applyBorder="1" applyAlignment="1">
      <alignment horizontal="center"/>
    </xf>
    <xf numFmtId="164" fontId="3" fillId="0" borderId="8" xfId="0" applyNumberFormat="1" applyFont="1" applyBorder="1" applyAlignment="1">
      <alignment horizontal="center"/>
    </xf>
    <xf numFmtId="0" fontId="3" fillId="0" borderId="11" xfId="0" applyFont="1" applyBorder="1"/>
    <xf numFmtId="166" fontId="3" fillId="0" borderId="3" xfId="0" applyNumberFormat="1" applyFont="1" applyBorder="1" applyAlignment="1">
      <alignment horizontal="center"/>
    </xf>
    <xf numFmtId="166" fontId="3" fillId="0" borderId="4" xfId="0" applyNumberFormat="1" applyFont="1" applyBorder="1" applyAlignment="1">
      <alignment horizontal="center"/>
    </xf>
    <xf numFmtId="0" fontId="3" fillId="0" borderId="4" xfId="0" applyFont="1" applyBorder="1" applyAlignment="1">
      <alignment horizontal="center"/>
    </xf>
    <xf numFmtId="0" fontId="3" fillId="0" borderId="9" xfId="0" applyFont="1" applyFill="1" applyBorder="1"/>
    <xf numFmtId="0" fontId="5" fillId="0" borderId="11" xfId="0" applyFont="1" applyFill="1" applyBorder="1"/>
    <xf numFmtId="0" fontId="3" fillId="0" borderId="11"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8" fontId="3" fillId="0" borderId="10" xfId="0" applyNumberFormat="1" applyFont="1" applyBorder="1" applyAlignment="1">
      <alignment horizontal="center"/>
    </xf>
    <xf numFmtId="0" fontId="3" fillId="0" borderId="7" xfId="0" applyFont="1" applyBorder="1" applyAlignment="1">
      <alignment horizontal="center"/>
    </xf>
    <xf numFmtId="0" fontId="3" fillId="0" borderId="2" xfId="0" applyFont="1" applyBorder="1" applyAlignment="1">
      <alignment horizontal="center"/>
    </xf>
    <xf numFmtId="164" fontId="3" fillId="0" borderId="2" xfId="0" applyNumberFormat="1" applyFont="1" applyBorder="1" applyAlignment="1">
      <alignment horizontal="center"/>
    </xf>
    <xf numFmtId="3" fontId="3" fillId="0" borderId="14" xfId="0" applyNumberFormat="1" applyFont="1" applyBorder="1" applyAlignment="1">
      <alignment horizontal="center"/>
    </xf>
    <xf numFmtId="2" fontId="3" fillId="0" borderId="3" xfId="0" applyNumberFormat="1" applyFont="1" applyBorder="1"/>
    <xf numFmtId="164" fontId="3" fillId="0" borderId="3" xfId="0" applyNumberFormat="1" applyFont="1" applyBorder="1"/>
    <xf numFmtId="2" fontId="3" fillId="0" borderId="4" xfId="0" applyNumberFormat="1" applyFont="1" applyBorder="1"/>
    <xf numFmtId="164" fontId="3" fillId="0" borderId="4" xfId="0" applyNumberFormat="1" applyFont="1" applyBorder="1"/>
    <xf numFmtId="2" fontId="3" fillId="0" borderId="12" xfId="0" applyNumberFormat="1" applyFont="1" applyBorder="1"/>
    <xf numFmtId="164" fontId="3" fillId="0" borderId="12" xfId="0" applyNumberFormat="1" applyFont="1" applyBorder="1"/>
    <xf numFmtId="164" fontId="3" fillId="0" borderId="15" xfId="0" applyNumberFormat="1" applyFont="1" applyBorder="1"/>
    <xf numFmtId="2" fontId="3" fillId="0" borderId="13" xfId="0" applyNumberFormat="1" applyFont="1" applyBorder="1"/>
    <xf numFmtId="164" fontId="3" fillId="0" borderId="13" xfId="0" applyNumberFormat="1" applyFont="1" applyBorder="1"/>
    <xf numFmtId="164" fontId="3" fillId="0" borderId="14" xfId="0" applyNumberFormat="1" applyFont="1" applyBorder="1"/>
    <xf numFmtId="164" fontId="3" fillId="0" borderId="10" xfId="0" applyNumberFormat="1" applyFont="1" applyBorder="1"/>
    <xf numFmtId="164" fontId="3" fillId="0" borderId="6" xfId="0" applyNumberFormat="1" applyFont="1" applyBorder="1"/>
    <xf numFmtId="164" fontId="3" fillId="0" borderId="12" xfId="0" applyNumberFormat="1" applyFont="1" applyFill="1" applyBorder="1"/>
    <xf numFmtId="164" fontId="3" fillId="0" borderId="4" xfId="0" applyNumberFormat="1" applyFont="1" applyFill="1" applyBorder="1"/>
    <xf numFmtId="2" fontId="3" fillId="0" borderId="11" xfId="0" applyNumberFormat="1" applyFont="1" applyBorder="1"/>
    <xf numFmtId="164" fontId="3" fillId="0" borderId="5" xfId="0" applyNumberFormat="1" applyFont="1" applyBorder="1"/>
    <xf numFmtId="164" fontId="3" fillId="0" borderId="9" xfId="0" applyNumberFormat="1" applyFont="1" applyBorder="1"/>
    <xf numFmtId="164" fontId="3" fillId="0" borderId="7" xfId="0" applyNumberFormat="1" applyFont="1" applyBorder="1"/>
    <xf numFmtId="164" fontId="3" fillId="0" borderId="8" xfId="0" applyNumberFormat="1" applyFont="1" applyBorder="1"/>
    <xf numFmtId="0" fontId="6" fillId="0" borderId="3" xfId="0" applyFont="1" applyBorder="1"/>
    <xf numFmtId="166" fontId="3" fillId="0" borderId="3" xfId="0" applyNumberFormat="1" applyFont="1" applyBorder="1"/>
    <xf numFmtId="166" fontId="3" fillId="0" borderId="4" xfId="0" applyNumberFormat="1" applyFont="1" applyBorder="1"/>
    <xf numFmtId="8" fontId="3" fillId="0" borderId="10" xfId="0" applyNumberFormat="1" applyFont="1" applyBorder="1"/>
    <xf numFmtId="0" fontId="3" fillId="0" borderId="2" xfId="0" applyFont="1" applyBorder="1"/>
    <xf numFmtId="164" fontId="3" fillId="0" borderId="2" xfId="0" applyNumberFormat="1" applyFont="1" applyBorder="1"/>
    <xf numFmtId="164" fontId="3" fillId="0" borderId="0" xfId="0" applyNumberFormat="1" applyFont="1"/>
    <xf numFmtId="0" fontId="0" fillId="0" borderId="0" xfId="0" applyFont="1"/>
    <xf numFmtId="164" fontId="0" fillId="0" borderId="10" xfId="0" applyNumberFormat="1" applyBorder="1" applyAlignment="1">
      <alignment horizontal="center"/>
    </xf>
    <xf numFmtId="0" fontId="0" fillId="0" borderId="0" xfId="0" quotePrefix="1"/>
    <xf numFmtId="167" fontId="0" fillId="0" borderId="0" xfId="0" applyNumberFormat="1"/>
    <xf numFmtId="0" fontId="1" fillId="0" borderId="0" xfId="0" applyFont="1" applyAlignment="1">
      <alignment horizontal="center" wrapText="1"/>
    </xf>
    <xf numFmtId="164" fontId="1" fillId="0" borderId="0" xfId="0" applyNumberFormat="1" applyFont="1"/>
    <xf numFmtId="0" fontId="1" fillId="0" borderId="0" xfId="0" quotePrefix="1" applyFont="1"/>
    <xf numFmtId="1" fontId="1" fillId="0" borderId="0" xfId="0" applyNumberFormat="1" applyFont="1"/>
    <xf numFmtId="1" fontId="1" fillId="0" borderId="0" xfId="0" applyNumberFormat="1" applyFont="1" applyAlignment="1">
      <alignment horizontal="center"/>
    </xf>
    <xf numFmtId="0" fontId="1" fillId="0" borderId="0" xfId="0" quotePrefix="1" applyFont="1" applyAlignment="1">
      <alignment horizontal="center"/>
    </xf>
    <xf numFmtId="168" fontId="1" fillId="0" borderId="0" xfId="0" applyNumberFormat="1" applyFont="1" applyAlignment="1">
      <alignment horizontal="center"/>
    </xf>
    <xf numFmtId="168" fontId="1" fillId="0" borderId="0" xfId="0" quotePrefix="1" applyNumberFormat="1" applyFont="1" applyAlignment="1">
      <alignment horizontal="center"/>
    </xf>
    <xf numFmtId="165" fontId="1" fillId="0" borderId="0" xfId="0" applyNumberFormat="1" applyFont="1" applyAlignment="1">
      <alignment horizontal="right"/>
    </xf>
    <xf numFmtId="0" fontId="1" fillId="0" borderId="0" xfId="0" applyFont="1" applyBorder="1"/>
    <xf numFmtId="0" fontId="1" fillId="0" borderId="0" xfId="0" applyFont="1" applyBorder="1" applyAlignment="1">
      <alignment horizontal="center"/>
    </xf>
    <xf numFmtId="164" fontId="1" fillId="0" borderId="0" xfId="0" applyNumberFormat="1" applyFont="1" applyBorder="1" applyAlignment="1">
      <alignment horizontal="center"/>
    </xf>
    <xf numFmtId="3" fontId="1" fillId="0" borderId="0" xfId="0" applyNumberFormat="1" applyFont="1" applyAlignment="1">
      <alignment horizontal="center"/>
    </xf>
    <xf numFmtId="165" fontId="1" fillId="0" borderId="0" xfId="0" applyNumberFormat="1" applyFont="1" applyAlignment="1"/>
    <xf numFmtId="0" fontId="1" fillId="0" borderId="10" xfId="0" applyFont="1" applyBorder="1" applyAlignment="1">
      <alignment horizontal="center"/>
    </xf>
    <xf numFmtId="168" fontId="1" fillId="0" borderId="0" xfId="0" applyNumberFormat="1" applyFont="1"/>
    <xf numFmtId="0" fontId="0" fillId="0" borderId="0" xfId="0"/>
    <xf numFmtId="0" fontId="1" fillId="0" borderId="0" xfId="0" applyFont="1"/>
    <xf numFmtId="0" fontId="1" fillId="0" borderId="0" xfId="0" applyFont="1" applyAlignment="1">
      <alignment horizontal="center"/>
    </xf>
    <xf numFmtId="10" fontId="1" fillId="0" borderId="0" xfId="0" applyNumberFormat="1" applyFont="1"/>
    <xf numFmtId="10" fontId="1" fillId="0" borderId="0" xfId="0" applyNumberFormat="1" applyFont="1" applyAlignment="1">
      <alignment horizontal="center"/>
    </xf>
    <xf numFmtId="164" fontId="1" fillId="0" borderId="0" xfId="0" applyNumberFormat="1" applyFont="1" applyAlignment="1">
      <alignment horizontal="center"/>
    </xf>
    <xf numFmtId="165" fontId="1" fillId="0" borderId="0" xfId="0" applyNumberFormat="1" applyFont="1" applyAlignment="1">
      <alignment horizontal="center"/>
    </xf>
    <xf numFmtId="165" fontId="1" fillId="0" borderId="0" xfId="0" applyNumberFormat="1" applyFont="1" applyBorder="1" applyAlignment="1">
      <alignment horizontal="center"/>
    </xf>
    <xf numFmtId="0" fontId="1" fillId="0" borderId="0" xfId="0" applyFont="1" applyAlignment="1">
      <alignment wrapText="1"/>
    </xf>
    <xf numFmtId="0" fontId="0" fillId="0" borderId="0" xfId="0" applyAlignment="1">
      <alignment horizontal="right"/>
    </xf>
    <xf numFmtId="164" fontId="1" fillId="2" borderId="0" xfId="0" applyNumberFormat="1" applyFont="1" applyFill="1" applyAlignment="1">
      <alignment horizontal="center"/>
    </xf>
    <xf numFmtId="168" fontId="1" fillId="2" borderId="0" xfId="0" applyNumberFormat="1" applyFont="1" applyFill="1" applyAlignment="1">
      <alignment horizontal="center"/>
    </xf>
    <xf numFmtId="3" fontId="1" fillId="2" borderId="0" xfId="0" applyNumberFormat="1" applyFont="1" applyFill="1" applyAlignment="1">
      <alignment horizontal="center"/>
    </xf>
    <xf numFmtId="165" fontId="1" fillId="2" borderId="0" xfId="0" applyNumberFormat="1" applyFont="1" applyFill="1"/>
    <xf numFmtId="10" fontId="1" fillId="2" borderId="0" xfId="0" applyNumberFormat="1" applyFont="1" applyFill="1"/>
    <xf numFmtId="168" fontId="1" fillId="2" borderId="0" xfId="0" applyNumberFormat="1" applyFont="1" applyFill="1" applyAlignment="1">
      <alignment horizontal="right"/>
    </xf>
    <xf numFmtId="168" fontId="1" fillId="2" borderId="0" xfId="0" quotePrefix="1" applyNumberFormat="1" applyFont="1" applyFill="1" applyAlignment="1">
      <alignment horizontal="right"/>
    </xf>
    <xf numFmtId="168" fontId="1" fillId="2" borderId="0" xfId="0" applyNumberFormat="1" applyFont="1" applyFill="1"/>
    <xf numFmtId="10" fontId="1" fillId="2" borderId="0" xfId="0" applyNumberFormat="1" applyFont="1" applyFill="1" applyAlignment="1">
      <alignment horizontal="right"/>
    </xf>
    <xf numFmtId="10" fontId="1" fillId="2" borderId="0" xfId="0" quotePrefix="1" applyNumberFormat="1" applyFont="1" applyFill="1" applyAlignment="1">
      <alignment horizontal="right"/>
    </xf>
    <xf numFmtId="168" fontId="0" fillId="2" borderId="0" xfId="0" applyNumberFormat="1" applyFill="1"/>
    <xf numFmtId="0" fontId="1" fillId="0" borderId="0" xfId="0" applyFont="1" applyBorder="1" applyAlignment="1">
      <alignment horizontal="center" wrapText="1"/>
    </xf>
    <xf numFmtId="0" fontId="1" fillId="0" borderId="16" xfId="0" applyFont="1" applyBorder="1" applyAlignment="1">
      <alignment horizontal="center"/>
    </xf>
    <xf numFmtId="0" fontId="1" fillId="0" borderId="16" xfId="0" applyFont="1" applyBorder="1" applyAlignment="1">
      <alignment horizontal="center" wrapText="1"/>
    </xf>
    <xf numFmtId="0" fontId="1" fillId="0" borderId="16" xfId="0" applyFont="1" applyFill="1" applyBorder="1" applyAlignment="1">
      <alignment horizontal="center" wrapText="1"/>
    </xf>
    <xf numFmtId="0" fontId="1" fillId="3" borderId="0" xfId="0" applyFont="1" applyFill="1"/>
    <xf numFmtId="168" fontId="1" fillId="3" borderId="0" xfId="0" applyNumberFormat="1" applyFont="1" applyFill="1"/>
    <xf numFmtId="10" fontId="1" fillId="3" borderId="0" xfId="0" applyNumberFormat="1" applyFont="1" applyFill="1"/>
    <xf numFmtId="168" fontId="1" fillId="3" borderId="0" xfId="0" applyNumberFormat="1" applyFont="1" applyFill="1" applyBorder="1"/>
    <xf numFmtId="164" fontId="1" fillId="3" borderId="0" xfId="0" applyNumberFormat="1" applyFont="1" applyFill="1" applyAlignment="1">
      <alignment horizontal="center"/>
    </xf>
    <xf numFmtId="3" fontId="1" fillId="3" borderId="0" xfId="0" applyNumberFormat="1" applyFont="1" applyFill="1" applyAlignment="1">
      <alignment horizontal="center"/>
    </xf>
    <xf numFmtId="165" fontId="9" fillId="3" borderId="0" xfId="0" applyNumberFormat="1" applyFont="1" applyFill="1" applyAlignment="1">
      <alignment horizontal="right"/>
    </xf>
    <xf numFmtId="165" fontId="1" fillId="3" borderId="0" xfId="0" applyNumberFormat="1" applyFont="1" applyFill="1" applyAlignment="1">
      <alignment horizontal="right"/>
    </xf>
    <xf numFmtId="165" fontId="1" fillId="3" borderId="0" xfId="0" applyNumberFormat="1" applyFont="1" applyFill="1" applyAlignment="1"/>
    <xf numFmtId="168" fontId="1" fillId="3" borderId="0" xfId="0" applyNumberFormat="1" applyFont="1" applyFill="1" applyAlignment="1">
      <alignment horizontal="center"/>
    </xf>
    <xf numFmtId="8" fontId="1" fillId="0" borderId="0" xfId="0" applyNumberFormat="1" applyFont="1"/>
    <xf numFmtId="0" fontId="10" fillId="0" borderId="0" xfId="0" applyFont="1"/>
    <xf numFmtId="9" fontId="1" fillId="0" borderId="0" xfId="0" applyNumberFormat="1" applyFont="1"/>
    <xf numFmtId="0" fontId="1" fillId="0" borderId="0" xfId="0" applyFont="1" applyAlignment="1">
      <alignment horizontal="left"/>
    </xf>
    <xf numFmtId="0" fontId="1" fillId="0" borderId="0" xfId="0" applyFont="1" applyAlignment="1">
      <alignment horizontal="center"/>
    </xf>
    <xf numFmtId="165" fontId="1" fillId="0" borderId="0" xfId="0" applyNumberFormat="1" applyFont="1"/>
    <xf numFmtId="0" fontId="3" fillId="4" borderId="4" xfId="0" applyFont="1" applyFill="1" applyBorder="1"/>
    <xf numFmtId="0" fontId="3" fillId="4" borderId="12" xfId="0" applyFont="1" applyFill="1" applyBorder="1"/>
    <xf numFmtId="0" fontId="3" fillId="4" borderId="5" xfId="0" applyFont="1" applyFill="1" applyBorder="1"/>
    <xf numFmtId="0" fontId="3" fillId="4" borderId="9" xfId="0" applyFont="1" applyFill="1" applyBorder="1"/>
    <xf numFmtId="0" fontId="4" fillId="4" borderId="10" xfId="0" applyFont="1" applyFill="1" applyBorder="1"/>
    <xf numFmtId="166" fontId="3" fillId="0" borderId="10" xfId="0" applyNumberFormat="1" applyFont="1" applyBorder="1" applyAlignment="1">
      <alignment horizontal="center"/>
    </xf>
    <xf numFmtId="10" fontId="1" fillId="0" borderId="0" xfId="3" applyNumberFormat="1" applyFont="1"/>
    <xf numFmtId="164" fontId="1" fillId="0" borderId="0" xfId="0" quotePrefix="1" applyNumberFormat="1" applyFont="1"/>
    <xf numFmtId="0" fontId="1" fillId="0" borderId="0" xfId="0" applyFont="1" applyAlignment="1">
      <alignment horizontal="center"/>
    </xf>
    <xf numFmtId="0" fontId="1" fillId="0" borderId="6" xfId="0" applyFont="1" applyBorder="1" applyAlignment="1">
      <alignment horizontal="center"/>
    </xf>
    <xf numFmtId="0" fontId="1" fillId="0" borderId="15" xfId="0" applyFont="1" applyBorder="1" applyAlignment="1">
      <alignment horizontal="center"/>
    </xf>
    <xf numFmtId="0" fontId="1" fillId="0" borderId="8" xfId="0" applyFont="1" applyBorder="1" applyAlignment="1">
      <alignment horizontal="center"/>
    </xf>
    <xf numFmtId="3" fontId="1" fillId="0" borderId="13" xfId="0" applyNumberFormat="1" applyFont="1" applyBorder="1" applyAlignment="1">
      <alignment horizontal="center"/>
    </xf>
    <xf numFmtId="3" fontId="1" fillId="0" borderId="10" xfId="0" applyNumberFormat="1" applyFont="1" applyBorder="1" applyAlignment="1">
      <alignment horizontal="center"/>
    </xf>
    <xf numFmtId="3" fontId="1" fillId="0" borderId="10" xfId="0" applyNumberFormat="1" applyFont="1" applyFill="1" applyBorder="1" applyAlignment="1">
      <alignment horizontal="center"/>
    </xf>
    <xf numFmtId="169" fontId="1" fillId="0" borderId="10" xfId="0" applyNumberFormat="1" applyFont="1" applyFill="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10" xfId="0" applyFont="1" applyFill="1" applyBorder="1" applyAlignment="1">
      <alignment horizontal="center"/>
    </xf>
    <xf numFmtId="9" fontId="1" fillId="3" borderId="0" xfId="0" applyNumberFormat="1" applyFont="1" applyFill="1"/>
    <xf numFmtId="9" fontId="1" fillId="3" borderId="0" xfId="0" applyNumberFormat="1" applyFont="1" applyFill="1" applyBorder="1"/>
    <xf numFmtId="6" fontId="1" fillId="0" borderId="0" xfId="0" applyNumberFormat="1" applyFont="1" applyAlignment="1">
      <alignment horizontal="center"/>
    </xf>
    <xf numFmtId="1" fontId="1" fillId="0" borderId="10" xfId="0" applyNumberFormat="1" applyFont="1" applyBorder="1" applyAlignment="1">
      <alignment horizontal="center"/>
    </xf>
    <xf numFmtId="165" fontId="3" fillId="0" borderId="10" xfId="0" applyNumberFormat="1" applyFont="1" applyBorder="1" applyAlignment="1">
      <alignment horizontal="center"/>
    </xf>
    <xf numFmtId="0" fontId="1" fillId="0" borderId="0" xfId="0" applyFont="1" applyAlignment="1">
      <alignment vertical="center"/>
    </xf>
    <xf numFmtId="0" fontId="1" fillId="5" borderId="4" xfId="0" applyFont="1" applyFill="1" applyBorder="1" applyAlignment="1">
      <alignment horizontal="center" wrapText="1"/>
    </xf>
    <xf numFmtId="10" fontId="1" fillId="5" borderId="0" xfId="0" applyNumberFormat="1" applyFont="1" applyFill="1" applyBorder="1" applyAlignment="1">
      <alignment horizontal="center"/>
    </xf>
    <xf numFmtId="10" fontId="1" fillId="5" borderId="15" xfId="3" applyNumberFormat="1" applyFont="1" applyFill="1" applyBorder="1" applyAlignment="1">
      <alignment horizontal="center"/>
    </xf>
    <xf numFmtId="9" fontId="1" fillId="5" borderId="1" xfId="0" applyNumberFormat="1" applyFont="1" applyFill="1" applyBorder="1" applyAlignment="1">
      <alignment horizontal="center"/>
    </xf>
    <xf numFmtId="9" fontId="1" fillId="5" borderId="6" xfId="0" applyNumberFormat="1" applyFont="1" applyFill="1" applyBorder="1" applyAlignment="1">
      <alignment horizontal="center"/>
    </xf>
    <xf numFmtId="3" fontId="1" fillId="5" borderId="2" xfId="0" applyNumberFormat="1" applyFont="1" applyFill="1" applyBorder="1" applyAlignment="1">
      <alignment horizontal="center"/>
    </xf>
    <xf numFmtId="3" fontId="1" fillId="5" borderId="8" xfId="0" applyNumberFormat="1" applyFont="1" applyFill="1" applyBorder="1" applyAlignment="1">
      <alignment horizontal="center"/>
    </xf>
    <xf numFmtId="9" fontId="1" fillId="5" borderId="0" xfId="0" applyNumberFormat="1" applyFont="1" applyFill="1" applyBorder="1" applyAlignment="1">
      <alignment horizontal="center"/>
    </xf>
    <xf numFmtId="9" fontId="1" fillId="5" borderId="15" xfId="0" applyNumberFormat="1" applyFont="1" applyFill="1" applyBorder="1" applyAlignment="1">
      <alignment horizontal="center"/>
    </xf>
    <xf numFmtId="168" fontId="1" fillId="6" borderId="0" xfId="0" applyNumberFormat="1" applyFont="1" applyFill="1" applyAlignment="1">
      <alignment horizontal="center"/>
    </xf>
    <xf numFmtId="9" fontId="1" fillId="6" borderId="0" xfId="0" applyNumberFormat="1" applyFont="1" applyFill="1"/>
    <xf numFmtId="0" fontId="0" fillId="7" borderId="10" xfId="0" applyFill="1" applyBorder="1"/>
    <xf numFmtId="0" fontId="2" fillId="6" borderId="10" xfId="0" applyFont="1" applyFill="1" applyBorder="1"/>
    <xf numFmtId="9" fontId="1" fillId="0" borderId="0" xfId="0" applyNumberFormat="1" applyFont="1" applyAlignment="1">
      <alignment horizontal="center"/>
    </xf>
    <xf numFmtId="0" fontId="1" fillId="0" borderId="29" xfId="0" applyFont="1" applyBorder="1" applyAlignment="1">
      <alignment horizontal="center" vertical="center" wrapText="1"/>
    </xf>
    <xf numFmtId="0" fontId="1" fillId="0" borderId="24" xfId="0" applyFont="1" applyFill="1" applyBorder="1" applyAlignment="1">
      <alignment horizontal="center" vertical="center"/>
    </xf>
    <xf numFmtId="0" fontId="16" fillId="9" borderId="32" xfId="0" applyFont="1" applyFill="1" applyBorder="1" applyAlignment="1">
      <alignment horizontal="right"/>
    </xf>
    <xf numFmtId="0" fontId="10" fillId="0" borderId="29" xfId="0" applyFont="1" applyBorder="1"/>
    <xf numFmtId="0" fontId="15" fillId="0" borderId="29" xfId="0" applyFont="1" applyFill="1" applyBorder="1" applyAlignment="1">
      <alignment horizontal="center" vertical="center" wrapText="1"/>
    </xf>
    <xf numFmtId="164" fontId="0" fillId="0" borderId="0" xfId="0" applyNumberFormat="1"/>
    <xf numFmtId="165" fontId="0" fillId="0" borderId="0" xfId="0" applyNumberFormat="1"/>
    <xf numFmtId="0" fontId="21" fillId="0" borderId="32" xfId="0" applyFont="1" applyFill="1" applyBorder="1"/>
    <xf numFmtId="0" fontId="21" fillId="0" borderId="0" xfId="0" applyFont="1" applyFill="1" applyBorder="1"/>
    <xf numFmtId="0" fontId="21" fillId="0" borderId="33" xfId="0" applyFont="1" applyFill="1" applyBorder="1"/>
    <xf numFmtId="0" fontId="19" fillId="0" borderId="25" xfId="0" applyFont="1" applyFill="1" applyBorder="1" applyAlignment="1">
      <alignment horizontal="center"/>
    </xf>
    <xf numFmtId="0" fontId="19" fillId="0" borderId="17" xfId="0" applyFont="1" applyFill="1" applyBorder="1" applyAlignment="1">
      <alignment horizontal="center"/>
    </xf>
    <xf numFmtId="0" fontId="19" fillId="0" borderId="17" xfId="0" applyFont="1" applyFill="1" applyBorder="1" applyAlignment="1">
      <alignment horizontal="center" wrapText="1"/>
    </xf>
    <xf numFmtId="0" fontId="19" fillId="0" borderId="26" xfId="0" applyFont="1" applyFill="1" applyBorder="1" applyAlignment="1">
      <alignment horizontal="center"/>
    </xf>
    <xf numFmtId="0" fontId="19" fillId="0" borderId="32" xfId="0" applyFont="1" applyFill="1" applyBorder="1"/>
    <xf numFmtId="49" fontId="19" fillId="0" borderId="0" xfId="0" applyNumberFormat="1" applyFont="1" applyFill="1" applyBorder="1" applyAlignment="1">
      <alignment horizontal="right"/>
    </xf>
    <xf numFmtId="165" fontId="19" fillId="0" borderId="0" xfId="0" applyNumberFormat="1" applyFont="1" applyFill="1" applyBorder="1" applyAlignment="1">
      <alignment horizontal="center"/>
    </xf>
    <xf numFmtId="165" fontId="19" fillId="0" borderId="33" xfId="0" applyNumberFormat="1" applyFont="1" applyFill="1" applyBorder="1" applyAlignment="1">
      <alignment horizontal="center"/>
    </xf>
    <xf numFmtId="164" fontId="19" fillId="0" borderId="0" xfId="0" applyNumberFormat="1" applyFont="1" applyFill="1" applyBorder="1" applyAlignment="1">
      <alignment horizontal="center"/>
    </xf>
    <xf numFmtId="0" fontId="19" fillId="0" borderId="25" xfId="0" applyFont="1" applyFill="1" applyBorder="1"/>
    <xf numFmtId="165" fontId="19" fillId="0" borderId="17" xfId="0" applyNumberFormat="1" applyFont="1" applyFill="1" applyBorder="1" applyAlignment="1">
      <alignment horizontal="center"/>
    </xf>
    <xf numFmtId="165" fontId="19" fillId="0" borderId="26" xfId="0" applyNumberFormat="1" applyFont="1" applyFill="1" applyBorder="1" applyAlignment="1">
      <alignment horizontal="center"/>
    </xf>
    <xf numFmtId="0" fontId="19" fillId="0" borderId="26" xfId="0" applyFont="1" applyFill="1" applyBorder="1" applyAlignment="1">
      <alignment horizontal="center" wrapText="1"/>
    </xf>
    <xf numFmtId="0" fontId="19" fillId="0" borderId="0" xfId="0" applyFont="1" applyFill="1" applyBorder="1" applyAlignment="1">
      <alignment horizontal="center"/>
    </xf>
    <xf numFmtId="164" fontId="19" fillId="0" borderId="33" xfId="0" applyNumberFormat="1" applyFont="1" applyFill="1" applyBorder="1" applyAlignment="1">
      <alignment horizontal="center"/>
    </xf>
    <xf numFmtId="0" fontId="19" fillId="0" borderId="0" xfId="0" applyFont="1" applyFill="1" applyBorder="1"/>
    <xf numFmtId="49" fontId="19" fillId="0" borderId="17" xfId="0" applyNumberFormat="1" applyFont="1" applyFill="1" applyBorder="1" applyAlignment="1">
      <alignment horizontal="right"/>
    </xf>
    <xf numFmtId="0" fontId="19" fillId="0" borderId="17" xfId="0" applyFont="1" applyFill="1" applyBorder="1"/>
    <xf numFmtId="164" fontId="19" fillId="0" borderId="26" xfId="0" applyNumberFormat="1" applyFont="1" applyFill="1" applyBorder="1" applyAlignment="1">
      <alignment horizontal="center"/>
    </xf>
    <xf numFmtId="0" fontId="1" fillId="0" borderId="27" xfId="0" applyFont="1" applyBorder="1" applyAlignment="1">
      <alignment horizontal="center"/>
    </xf>
    <xf numFmtId="10" fontId="1" fillId="0" borderId="23" xfId="0" applyNumberFormat="1" applyFont="1" applyBorder="1" applyAlignment="1">
      <alignment horizontal="center"/>
    </xf>
    <xf numFmtId="0" fontId="1" fillId="0" borderId="23" xfId="0" applyFont="1" applyBorder="1" applyAlignment="1">
      <alignment horizontal="center"/>
    </xf>
    <xf numFmtId="164" fontId="1" fillId="0" borderId="23" xfId="0" applyNumberFormat="1" applyFont="1" applyBorder="1" applyAlignment="1">
      <alignment horizontal="center"/>
    </xf>
    <xf numFmtId="165" fontId="1" fillId="0" borderId="23" xfId="0" applyNumberFormat="1" applyFont="1" applyBorder="1" applyAlignment="1">
      <alignment horizontal="center"/>
    </xf>
    <xf numFmtId="165" fontId="1" fillId="0" borderId="28" xfId="0" applyNumberFormat="1" applyFont="1" applyBorder="1" applyAlignment="1">
      <alignment horizontal="center"/>
    </xf>
    <xf numFmtId="0" fontId="1" fillId="0" borderId="32" xfId="0" applyFont="1" applyBorder="1" applyAlignment="1">
      <alignment horizontal="center"/>
    </xf>
    <xf numFmtId="10" fontId="1" fillId="2" borderId="0" xfId="0" applyNumberFormat="1" applyFont="1" applyFill="1" applyBorder="1" applyAlignment="1">
      <alignment horizontal="center"/>
    </xf>
    <xf numFmtId="3" fontId="1" fillId="0" borderId="0" xfId="0" applyNumberFormat="1" applyFont="1" applyBorder="1" applyAlignment="1">
      <alignment horizontal="center"/>
    </xf>
    <xf numFmtId="165" fontId="1" fillId="0" borderId="33" xfId="0" applyNumberFormat="1" applyFont="1" applyBorder="1" applyAlignment="1">
      <alignment horizontal="center"/>
    </xf>
    <xf numFmtId="168" fontId="1" fillId="2" borderId="0" xfId="0" applyNumberFormat="1" applyFont="1" applyFill="1" applyBorder="1" applyAlignment="1">
      <alignment horizontal="center"/>
    </xf>
    <xf numFmtId="168" fontId="1" fillId="2" borderId="0" xfId="0" quotePrefix="1" applyNumberFormat="1" applyFont="1" applyFill="1" applyBorder="1" applyAlignment="1">
      <alignment horizontal="center"/>
    </xf>
    <xf numFmtId="168" fontId="1" fillId="6" borderId="0" xfId="0" applyNumberFormat="1" applyFont="1" applyFill="1" applyBorder="1" applyAlignment="1">
      <alignment horizontal="center"/>
    </xf>
    <xf numFmtId="0" fontId="1" fillId="0" borderId="30" xfId="0" applyFont="1" applyBorder="1" applyAlignment="1">
      <alignment horizontal="center"/>
    </xf>
    <xf numFmtId="168" fontId="1" fillId="6" borderId="16" xfId="0" applyNumberFormat="1" applyFont="1" applyFill="1" applyBorder="1" applyAlignment="1">
      <alignment horizontal="center"/>
    </xf>
    <xf numFmtId="3" fontId="1" fillId="0" borderId="16" xfId="0" applyNumberFormat="1" applyFont="1" applyBorder="1" applyAlignment="1">
      <alignment horizontal="center"/>
    </xf>
    <xf numFmtId="164" fontId="1" fillId="0" borderId="16" xfId="0" applyNumberFormat="1" applyFont="1" applyBorder="1" applyAlignment="1">
      <alignment horizontal="center"/>
    </xf>
    <xf numFmtId="165" fontId="1" fillId="0" borderId="16" xfId="0" applyNumberFormat="1" applyFont="1" applyBorder="1" applyAlignment="1">
      <alignment horizontal="center"/>
    </xf>
    <xf numFmtId="165" fontId="1" fillId="0" borderId="31" xfId="0" applyNumberFormat="1" applyFont="1" applyBorder="1" applyAlignment="1">
      <alignment horizontal="center"/>
    </xf>
    <xf numFmtId="0" fontId="1" fillId="7" borderId="25" xfId="0" applyFont="1" applyFill="1" applyBorder="1" applyAlignment="1">
      <alignment horizontal="center"/>
    </xf>
    <xf numFmtId="0" fontId="1" fillId="7" borderId="17" xfId="0" applyFont="1" applyFill="1" applyBorder="1" applyAlignment="1">
      <alignment horizontal="center" wrapText="1"/>
    </xf>
    <xf numFmtId="0" fontId="1" fillId="7" borderId="26" xfId="0" applyFont="1" applyFill="1" applyBorder="1" applyAlignment="1">
      <alignment horizontal="center" wrapText="1"/>
    </xf>
    <xf numFmtId="0" fontId="1" fillId="5" borderId="0" xfId="0" applyFont="1" applyFill="1" applyBorder="1"/>
    <xf numFmtId="0" fontId="18" fillId="7" borderId="11" xfId="0" applyFont="1" applyFill="1" applyBorder="1"/>
    <xf numFmtId="0" fontId="18" fillId="7" borderId="13" xfId="0" applyFont="1" applyFill="1" applyBorder="1"/>
    <xf numFmtId="0" fontId="26" fillId="5" borderId="10" xfId="0" applyFont="1" applyFill="1" applyBorder="1"/>
    <xf numFmtId="0" fontId="26" fillId="0" borderId="10" xfId="0" applyFont="1" applyBorder="1"/>
    <xf numFmtId="0" fontId="1" fillId="5" borderId="4" xfId="0" applyFont="1" applyFill="1" applyBorder="1"/>
    <xf numFmtId="164" fontId="1" fillId="5" borderId="10" xfId="0" applyNumberFormat="1" applyFont="1" applyFill="1" applyBorder="1"/>
    <xf numFmtId="164" fontId="1" fillId="0" borderId="10" xfId="0" applyNumberFormat="1" applyFont="1" applyBorder="1"/>
    <xf numFmtId="0" fontId="1" fillId="0" borderId="4" xfId="0" applyFont="1" applyFill="1" applyBorder="1"/>
    <xf numFmtId="0" fontId="1" fillId="5" borderId="10" xfId="0" applyFont="1" applyFill="1" applyBorder="1"/>
    <xf numFmtId="0" fontId="26" fillId="5" borderId="10" xfId="0" applyFont="1" applyFill="1" applyBorder="1" applyAlignment="1">
      <alignment horizontal="center"/>
    </xf>
    <xf numFmtId="0" fontId="26" fillId="5" borderId="11" xfId="0" applyFont="1" applyFill="1" applyBorder="1" applyAlignment="1"/>
    <xf numFmtId="0" fontId="26" fillId="5" borderId="14" xfId="0" applyFont="1" applyFill="1" applyBorder="1" applyAlignment="1"/>
    <xf numFmtId="0" fontId="26" fillId="5" borderId="12" xfId="0" applyFont="1" applyFill="1" applyBorder="1"/>
    <xf numFmtId="0" fontId="1" fillId="5" borderId="12" xfId="0" applyFont="1" applyFill="1" applyBorder="1" applyAlignment="1">
      <alignment horizontal="center" wrapText="1"/>
    </xf>
    <xf numFmtId="0" fontId="26" fillId="5" borderId="11" xfId="0" applyFont="1" applyFill="1" applyBorder="1"/>
    <xf numFmtId="0" fontId="1" fillId="5" borderId="13" xfId="0" applyFont="1" applyFill="1" applyBorder="1"/>
    <xf numFmtId="0" fontId="1" fillId="5" borderId="14" xfId="0" applyFont="1" applyFill="1" applyBorder="1"/>
    <xf numFmtId="164" fontId="1" fillId="5" borderId="3" xfId="0" applyNumberFormat="1" applyFont="1" applyFill="1" applyBorder="1" applyAlignment="1">
      <alignment horizontal="center"/>
    </xf>
    <xf numFmtId="164" fontId="1" fillId="5" borderId="4" xfId="0" applyNumberFormat="1" applyFont="1" applyFill="1" applyBorder="1" applyAlignment="1">
      <alignment horizontal="center"/>
    </xf>
    <xf numFmtId="164" fontId="1" fillId="5" borderId="12" xfId="0" applyNumberFormat="1" applyFont="1" applyFill="1" applyBorder="1" applyAlignment="1">
      <alignment horizontal="center"/>
    </xf>
    <xf numFmtId="164" fontId="1" fillId="5" borderId="13" xfId="0" applyNumberFormat="1" applyFont="1" applyFill="1" applyBorder="1" applyAlignment="1">
      <alignment horizontal="center"/>
    </xf>
    <xf numFmtId="164" fontId="1" fillId="5" borderId="14" xfId="0" applyNumberFormat="1" applyFont="1" applyFill="1" applyBorder="1" applyAlignment="1">
      <alignment horizontal="center"/>
    </xf>
    <xf numFmtId="164" fontId="1" fillId="5" borderId="10" xfId="0" applyNumberFormat="1" applyFont="1" applyFill="1" applyBorder="1" applyAlignment="1">
      <alignment horizontal="center"/>
    </xf>
    <xf numFmtId="164" fontId="1" fillId="5" borderId="6" xfId="0" applyNumberFormat="1" applyFont="1" applyFill="1" applyBorder="1" applyAlignment="1">
      <alignment horizontal="center"/>
    </xf>
    <xf numFmtId="164" fontId="1" fillId="5" borderId="15" xfId="0" applyNumberFormat="1" applyFont="1" applyFill="1" applyBorder="1" applyAlignment="1">
      <alignment horizontal="center"/>
    </xf>
    <xf numFmtId="0" fontId="1" fillId="5" borderId="9" xfId="0" applyFont="1" applyFill="1" applyBorder="1"/>
    <xf numFmtId="0" fontId="1" fillId="5" borderId="7" xfId="0" applyFont="1" applyFill="1" applyBorder="1"/>
    <xf numFmtId="164" fontId="1" fillId="5" borderId="5" xfId="0" applyNumberFormat="1" applyFont="1" applyFill="1" applyBorder="1" applyAlignment="1">
      <alignment horizontal="center"/>
    </xf>
    <xf numFmtId="164" fontId="1" fillId="5" borderId="9" xfId="0" applyNumberFormat="1" applyFont="1" applyFill="1" applyBorder="1" applyAlignment="1">
      <alignment horizontal="center"/>
    </xf>
    <xf numFmtId="164" fontId="1" fillId="5" borderId="7" xfId="0" applyNumberFormat="1" applyFont="1" applyFill="1" applyBorder="1" applyAlignment="1">
      <alignment horizontal="center"/>
    </xf>
    <xf numFmtId="164" fontId="1" fillId="5" borderId="8" xfId="0" applyNumberFormat="1" applyFont="1" applyFill="1" applyBorder="1" applyAlignment="1">
      <alignment horizontal="center"/>
    </xf>
    <xf numFmtId="0" fontId="1" fillId="5" borderId="11" xfId="0" applyFont="1" applyFill="1" applyBorder="1" applyAlignment="1">
      <alignment horizontal="center"/>
    </xf>
    <xf numFmtId="0" fontId="1" fillId="5" borderId="13" xfId="0" applyFont="1" applyFill="1" applyBorder="1" applyAlignment="1">
      <alignment horizontal="center"/>
    </xf>
    <xf numFmtId="0" fontId="1" fillId="5" borderId="10" xfId="0" applyFont="1" applyFill="1" applyBorder="1" applyAlignment="1">
      <alignment horizontal="center"/>
    </xf>
    <xf numFmtId="8" fontId="1" fillId="5" borderId="10" xfId="0" applyNumberFormat="1" applyFont="1" applyFill="1" applyBorder="1" applyAlignment="1">
      <alignment horizontal="center"/>
    </xf>
    <xf numFmtId="0" fontId="1" fillId="5" borderId="7" xfId="0" applyFont="1" applyFill="1" applyBorder="1" applyAlignment="1">
      <alignment horizontal="center"/>
    </xf>
    <xf numFmtId="0" fontId="1" fillId="5" borderId="2" xfId="0" applyFont="1" applyFill="1" applyBorder="1" applyAlignment="1">
      <alignment horizontal="center"/>
    </xf>
    <xf numFmtId="164" fontId="1" fillId="5" borderId="2" xfId="0" applyNumberFormat="1" applyFont="1" applyFill="1" applyBorder="1" applyAlignment="1">
      <alignment horizontal="center"/>
    </xf>
    <xf numFmtId="165" fontId="1" fillId="5" borderId="10" xfId="0" applyNumberFormat="1" applyFont="1" applyFill="1" applyBorder="1" applyAlignment="1">
      <alignment horizontal="center"/>
    </xf>
    <xf numFmtId="0" fontId="1" fillId="0" borderId="23" xfId="0" applyFont="1" applyBorder="1"/>
    <xf numFmtId="165" fontId="1" fillId="4" borderId="31" xfId="0" applyNumberFormat="1" applyFont="1" applyFill="1" applyBorder="1" applyAlignment="1">
      <alignment horizontal="center"/>
    </xf>
    <xf numFmtId="0" fontId="1" fillId="6" borderId="25" xfId="0" applyFont="1" applyFill="1" applyBorder="1" applyAlignment="1">
      <alignment horizontal="center"/>
    </xf>
    <xf numFmtId="0" fontId="1" fillId="6" borderId="17" xfId="0" applyFont="1" applyFill="1" applyBorder="1" applyAlignment="1">
      <alignment horizontal="center" wrapText="1"/>
    </xf>
    <xf numFmtId="0" fontId="1" fillId="6" borderId="26" xfId="0" applyFont="1" applyFill="1" applyBorder="1" applyAlignment="1">
      <alignment horizontal="center" wrapText="1"/>
    </xf>
    <xf numFmtId="0" fontId="0" fillId="5" borderId="0" xfId="0" applyFill="1"/>
    <xf numFmtId="0" fontId="1" fillId="5" borderId="0" xfId="0" applyFont="1" applyFill="1"/>
    <xf numFmtId="165" fontId="1" fillId="5" borderId="0" xfId="0" applyNumberFormat="1" applyFont="1" applyFill="1" applyAlignment="1">
      <alignment horizontal="right"/>
    </xf>
    <xf numFmtId="0" fontId="3" fillId="5" borderId="0" xfId="0" applyFont="1" applyFill="1"/>
    <xf numFmtId="0" fontId="1" fillId="5" borderId="0" xfId="0" applyFont="1" applyFill="1" applyAlignment="1">
      <alignment horizontal="center" wrapText="1"/>
    </xf>
    <xf numFmtId="0" fontId="1" fillId="5" borderId="0" xfId="0" applyFont="1" applyFill="1" applyAlignment="1">
      <alignment wrapText="1"/>
    </xf>
    <xf numFmtId="165" fontId="1" fillId="5" borderId="0" xfId="0" applyNumberFormat="1" applyFont="1" applyFill="1"/>
    <xf numFmtId="10" fontId="1" fillId="5" borderId="0" xfId="0" applyNumberFormat="1" applyFont="1" applyFill="1" applyAlignment="1">
      <alignment horizontal="right"/>
    </xf>
    <xf numFmtId="10" fontId="1" fillId="5" borderId="0" xfId="0" quotePrefix="1" applyNumberFormat="1" applyFont="1" applyFill="1" applyAlignment="1">
      <alignment horizontal="right"/>
    </xf>
    <xf numFmtId="10" fontId="1" fillId="5" borderId="0" xfId="0" applyNumberFormat="1" applyFont="1" applyFill="1"/>
    <xf numFmtId="168" fontId="3" fillId="5" borderId="0" xfId="0" applyNumberFormat="1" applyFont="1" applyFill="1"/>
    <xf numFmtId="167" fontId="0" fillId="5" borderId="0" xfId="0" applyNumberFormat="1" applyFill="1"/>
    <xf numFmtId="0" fontId="0" fillId="5" borderId="0" xfId="0" quotePrefix="1" applyFill="1"/>
    <xf numFmtId="0" fontId="1" fillId="5" borderId="0" xfId="0" applyFont="1" applyFill="1" applyAlignment="1">
      <alignment horizontal="center"/>
    </xf>
    <xf numFmtId="10" fontId="1" fillId="5" borderId="0" xfId="0" applyNumberFormat="1" applyFont="1" applyFill="1" applyAlignment="1">
      <alignment horizontal="center"/>
    </xf>
    <xf numFmtId="164" fontId="1" fillId="5" borderId="0" xfId="0" applyNumberFormat="1" applyFont="1" applyFill="1"/>
    <xf numFmtId="0" fontId="1" fillId="5" borderId="0" xfId="0" quotePrefix="1" applyFont="1" applyFill="1"/>
    <xf numFmtId="1" fontId="1" fillId="5" borderId="0" xfId="0" applyNumberFormat="1" applyFont="1" applyFill="1" applyAlignment="1">
      <alignment horizontal="center"/>
    </xf>
    <xf numFmtId="0" fontId="1" fillId="5" borderId="0" xfId="0" quotePrefix="1" applyFont="1" applyFill="1" applyAlignment="1">
      <alignment horizontal="center"/>
    </xf>
    <xf numFmtId="168" fontId="1" fillId="5" borderId="0" xfId="0" applyNumberFormat="1" applyFont="1" applyFill="1" applyAlignment="1">
      <alignment horizontal="center"/>
    </xf>
    <xf numFmtId="168" fontId="1" fillId="5" borderId="0" xfId="0" quotePrefix="1" applyNumberFormat="1" applyFont="1" applyFill="1" applyAlignment="1">
      <alignment horizontal="center"/>
    </xf>
    <xf numFmtId="1" fontId="1" fillId="5" borderId="0" xfId="0" applyNumberFormat="1" applyFont="1" applyFill="1"/>
    <xf numFmtId="165" fontId="19" fillId="11" borderId="0" xfId="0" applyNumberFormat="1" applyFont="1" applyFill="1" applyBorder="1" applyAlignment="1">
      <alignment horizontal="center"/>
    </xf>
    <xf numFmtId="166" fontId="19" fillId="11" borderId="0" xfId="0" applyNumberFormat="1" applyFont="1" applyFill="1" applyBorder="1" applyAlignment="1">
      <alignment horizontal="center"/>
    </xf>
    <xf numFmtId="0" fontId="19" fillId="11" borderId="0" xfId="0" applyFont="1" applyFill="1" applyBorder="1" applyAlignment="1">
      <alignment horizontal="center"/>
    </xf>
    <xf numFmtId="9" fontId="19" fillId="11" borderId="0" xfId="0" applyNumberFormat="1" applyFont="1" applyFill="1" applyBorder="1" applyAlignment="1">
      <alignment horizontal="center"/>
    </xf>
    <xf numFmtId="0" fontId="18" fillId="6" borderId="11" xfId="0" applyFont="1" applyFill="1" applyBorder="1"/>
    <xf numFmtId="0" fontId="18" fillId="6" borderId="13" xfId="0" applyFont="1" applyFill="1" applyBorder="1"/>
    <xf numFmtId="0" fontId="26" fillId="5" borderId="5" xfId="0" applyFont="1" applyFill="1" applyBorder="1"/>
    <xf numFmtId="164" fontId="1" fillId="5" borderId="3" xfId="0" applyNumberFormat="1" applyFont="1" applyFill="1" applyBorder="1"/>
    <xf numFmtId="0" fontId="26" fillId="0" borderId="11" xfId="0" applyFont="1" applyBorder="1"/>
    <xf numFmtId="0" fontId="1" fillId="0" borderId="9" xfId="0" applyFont="1" applyBorder="1"/>
    <xf numFmtId="0" fontId="1" fillId="5" borderId="2" xfId="0" applyFont="1" applyFill="1" applyBorder="1"/>
    <xf numFmtId="164" fontId="1" fillId="5" borderId="2" xfId="0" applyNumberFormat="1" applyFont="1" applyFill="1" applyBorder="1"/>
    <xf numFmtId="164" fontId="1" fillId="5" borderId="8" xfId="0" applyNumberFormat="1" applyFont="1" applyFill="1" applyBorder="1"/>
    <xf numFmtId="0" fontId="1" fillId="5" borderId="0" xfId="0" applyFont="1" applyFill="1" applyAlignment="1">
      <alignment horizontal="left"/>
    </xf>
    <xf numFmtId="10" fontId="0" fillId="5" borderId="0" xfId="0" applyNumberFormat="1" applyFill="1"/>
    <xf numFmtId="0" fontId="15" fillId="5" borderId="0" xfId="0" applyFont="1" applyFill="1" applyAlignment="1"/>
    <xf numFmtId="0" fontId="0" fillId="5" borderId="0" xfId="0" applyFill="1" applyAlignment="1">
      <alignment horizontal="center"/>
    </xf>
    <xf numFmtId="0" fontId="20" fillId="5" borderId="0" xfId="0" applyFont="1" applyFill="1" applyAlignment="1">
      <alignment horizontal="center" vertical="center" wrapText="1"/>
    </xf>
    <xf numFmtId="0" fontId="1" fillId="5" borderId="0" xfId="0" applyFont="1" applyFill="1" applyBorder="1" applyAlignment="1">
      <alignment horizontal="left" vertical="top" wrapText="1"/>
    </xf>
    <xf numFmtId="0" fontId="1" fillId="5" borderId="0" xfId="0" applyFont="1" applyFill="1" applyBorder="1" applyAlignment="1">
      <alignment vertical="center" wrapText="1"/>
    </xf>
    <xf numFmtId="164" fontId="1" fillId="5" borderId="0" xfId="0" applyNumberFormat="1" applyFont="1" applyFill="1" applyAlignment="1">
      <alignment horizontal="center"/>
    </xf>
    <xf numFmtId="165" fontId="1" fillId="5" borderId="0" xfId="0" applyNumberFormat="1" applyFont="1" applyFill="1" applyAlignment="1">
      <alignment horizontal="center"/>
    </xf>
    <xf numFmtId="3" fontId="1" fillId="5" borderId="0" xfId="0" applyNumberFormat="1" applyFont="1" applyFill="1" applyAlignment="1">
      <alignment horizontal="center"/>
    </xf>
    <xf numFmtId="0" fontId="1" fillId="5" borderId="16" xfId="0" applyFont="1" applyFill="1" applyBorder="1" applyAlignment="1">
      <alignment horizontal="center" wrapText="1"/>
    </xf>
    <xf numFmtId="9" fontId="1" fillId="5" borderId="0" xfId="0" applyNumberFormat="1" applyFont="1" applyFill="1"/>
    <xf numFmtId="168" fontId="1" fillId="5" borderId="0" xfId="0" applyNumberFormat="1" applyFont="1" applyFill="1"/>
    <xf numFmtId="3" fontId="1" fillId="5" borderId="0" xfId="0" applyNumberFormat="1" applyFont="1" applyFill="1"/>
    <xf numFmtId="165" fontId="1" fillId="5" borderId="0" xfId="0" applyNumberFormat="1" applyFont="1" applyFill="1" applyAlignment="1"/>
    <xf numFmtId="0" fontId="0" fillId="5" borderId="4" xfId="0" applyFill="1" applyBorder="1"/>
    <xf numFmtId="164" fontId="3" fillId="5" borderId="0" xfId="0" applyNumberFormat="1" applyFont="1" applyFill="1"/>
    <xf numFmtId="0" fontId="0" fillId="5" borderId="0" xfId="0" applyFont="1" applyFill="1"/>
    <xf numFmtId="0" fontId="8" fillId="5" borderId="0" xfId="0" applyFont="1" applyFill="1" applyBorder="1"/>
    <xf numFmtId="0" fontId="0" fillId="5" borderId="0" xfId="0" applyFill="1" applyAlignment="1">
      <alignment horizontal="left"/>
    </xf>
    <xf numFmtId="0" fontId="0" fillId="5" borderId="32" xfId="0" applyFill="1" applyBorder="1"/>
    <xf numFmtId="0" fontId="0" fillId="5" borderId="0" xfId="0" applyFill="1" applyBorder="1"/>
    <xf numFmtId="0" fontId="0" fillId="5" borderId="33" xfId="0" applyFill="1" applyBorder="1"/>
    <xf numFmtId="0" fontId="0" fillId="5" borderId="32" xfId="0" applyFill="1" applyBorder="1" applyAlignment="1">
      <alignment horizontal="center" vertical="center" wrapText="1"/>
    </xf>
    <xf numFmtId="0" fontId="1" fillId="5" borderId="0" xfId="0" applyFont="1" applyFill="1" applyBorder="1" applyAlignment="1">
      <alignment horizontal="left" wrapText="1"/>
    </xf>
    <xf numFmtId="0" fontId="1" fillId="5" borderId="33" xfId="0" applyFont="1" applyFill="1" applyBorder="1" applyAlignment="1">
      <alignment horizontal="left" wrapText="1"/>
    </xf>
    <xf numFmtId="0" fontId="0" fillId="5" borderId="27" xfId="0" applyFill="1" applyBorder="1"/>
    <xf numFmtId="0" fontId="0" fillId="5" borderId="23" xfId="0" applyFill="1" applyBorder="1"/>
    <xf numFmtId="0" fontId="0" fillId="5" borderId="28" xfId="0" applyFill="1" applyBorder="1"/>
    <xf numFmtId="0" fontId="1" fillId="5" borderId="26" xfId="0" applyFont="1" applyFill="1" applyBorder="1" applyAlignment="1">
      <alignment horizontal="left" vertical="top" wrapText="1"/>
    </xf>
    <xf numFmtId="0" fontId="0" fillId="5" borderId="26" xfId="0" applyFill="1" applyBorder="1"/>
    <xf numFmtId="9" fontId="0" fillId="5" borderId="0" xfId="3" applyFont="1" applyFill="1"/>
    <xf numFmtId="0" fontId="29" fillId="5" borderId="0" xfId="0" applyFont="1" applyFill="1" applyAlignment="1">
      <alignment horizontal="center"/>
    </xf>
    <xf numFmtId="0" fontId="29" fillId="5" borderId="0" xfId="0" applyFont="1" applyFill="1" applyAlignment="1">
      <alignment horizontal="center" wrapText="1"/>
    </xf>
    <xf numFmtId="0" fontId="29" fillId="5" borderId="4" xfId="0" applyFont="1" applyFill="1" applyBorder="1" applyAlignment="1">
      <alignment horizontal="center"/>
    </xf>
    <xf numFmtId="0" fontId="29" fillId="5" borderId="15" xfId="0" applyFont="1" applyFill="1" applyBorder="1" applyAlignment="1">
      <alignment horizontal="center"/>
    </xf>
    <xf numFmtId="0" fontId="0" fillId="0" borderId="0" xfId="0" applyBorder="1"/>
    <xf numFmtId="0" fontId="1" fillId="5" borderId="0" xfId="0" applyFont="1" applyFill="1" applyAlignment="1">
      <alignment horizontal="left"/>
    </xf>
    <xf numFmtId="0" fontId="19" fillId="5" borderId="4" xfId="0" applyFont="1" applyFill="1" applyBorder="1"/>
    <xf numFmtId="0" fontId="30" fillId="5" borderId="0" xfId="0" applyFont="1" applyFill="1"/>
    <xf numFmtId="0" fontId="1" fillId="5" borderId="42" xfId="0" quotePrefix="1" applyFont="1" applyFill="1" applyBorder="1"/>
    <xf numFmtId="0" fontId="1" fillId="5" borderId="44" xfId="0" quotePrefix="1" applyFont="1" applyFill="1" applyBorder="1"/>
    <xf numFmtId="0" fontId="1" fillId="5" borderId="44" xfId="0" applyFont="1" applyFill="1" applyBorder="1"/>
    <xf numFmtId="0" fontId="1" fillId="4" borderId="32" xfId="0" applyFont="1" applyFill="1" applyBorder="1" applyAlignment="1">
      <alignment horizontal="center"/>
    </xf>
    <xf numFmtId="9" fontId="1" fillId="5" borderId="0" xfId="0" applyNumberFormat="1" applyFont="1" applyFill="1" applyBorder="1"/>
    <xf numFmtId="165" fontId="1" fillId="0" borderId="34" xfId="0" applyNumberFormat="1" applyFont="1" applyBorder="1" applyAlignment="1">
      <alignment horizontal="center"/>
    </xf>
    <xf numFmtId="0" fontId="1" fillId="5" borderId="0" xfId="0" applyFont="1" applyFill="1" applyBorder="1" applyAlignment="1">
      <alignment horizontal="left"/>
    </xf>
    <xf numFmtId="0" fontId="1" fillId="5" borderId="0" xfId="0" applyFont="1" applyFill="1" applyAlignment="1">
      <alignment horizontal="right"/>
    </xf>
    <xf numFmtId="165" fontId="1" fillId="4" borderId="34" xfId="0" applyNumberFormat="1" applyFont="1" applyFill="1" applyBorder="1" applyAlignment="1">
      <alignment horizontal="center"/>
    </xf>
    <xf numFmtId="0" fontId="1" fillId="5" borderId="47" xfId="0" applyFont="1" applyFill="1" applyBorder="1"/>
    <xf numFmtId="0" fontId="27" fillId="0" borderId="32" xfId="0" applyFont="1" applyFill="1" applyBorder="1"/>
    <xf numFmtId="9" fontId="1" fillId="0" borderId="46" xfId="3" applyFont="1" applyFill="1" applyBorder="1" applyAlignment="1">
      <alignment horizontal="center"/>
    </xf>
    <xf numFmtId="0" fontId="1" fillId="5" borderId="48" xfId="0" quotePrefix="1" applyFont="1" applyFill="1" applyBorder="1"/>
    <xf numFmtId="0" fontId="1" fillId="5" borderId="47" xfId="0" quotePrefix="1" applyFont="1" applyFill="1" applyBorder="1"/>
    <xf numFmtId="0" fontId="1" fillId="5" borderId="49" xfId="0" quotePrefix="1" applyFont="1" applyFill="1" applyBorder="1"/>
    <xf numFmtId="0" fontId="1" fillId="0" borderId="0" xfId="0" applyFont="1" applyAlignment="1">
      <alignment horizontal="center"/>
    </xf>
    <xf numFmtId="164" fontId="1" fillId="0" borderId="0" xfId="0" applyNumberFormat="1" applyFont="1" applyAlignment="1">
      <alignment horizontal="center" vertical="center"/>
    </xf>
    <xf numFmtId="3" fontId="1" fillId="0" borderId="5" xfId="0" applyNumberFormat="1" applyFont="1" applyBorder="1" applyAlignment="1">
      <alignment horizontal="center"/>
    </xf>
    <xf numFmtId="0" fontId="0" fillId="0" borderId="0" xfId="0" applyFill="1"/>
    <xf numFmtId="0" fontId="1" fillId="0" borderId="0" xfId="0" applyFont="1" applyFill="1"/>
    <xf numFmtId="164" fontId="1" fillId="11" borderId="10" xfId="0" applyNumberFormat="1" applyFont="1" applyFill="1" applyBorder="1" applyAlignment="1" applyProtection="1">
      <alignment horizontal="center"/>
      <protection locked="0"/>
    </xf>
    <xf numFmtId="168" fontId="1" fillId="11" borderId="10" xfId="0" applyNumberFormat="1" applyFont="1" applyFill="1" applyBorder="1" applyAlignment="1" applyProtection="1">
      <alignment horizontal="center"/>
      <protection locked="0"/>
    </xf>
    <xf numFmtId="3" fontId="1" fillId="11" borderId="10" xfId="0" applyNumberFormat="1" applyFont="1" applyFill="1" applyBorder="1" applyAlignment="1" applyProtection="1">
      <alignment horizontal="center"/>
      <protection locked="0"/>
    </xf>
    <xf numFmtId="44" fontId="1" fillId="11" borderId="46" xfId="5" applyFont="1" applyFill="1" applyBorder="1" applyAlignment="1" applyProtection="1">
      <alignment horizontal="center"/>
      <protection locked="0"/>
    </xf>
    <xf numFmtId="170" fontId="1" fillId="11" borderId="46" xfId="4" applyNumberFormat="1" applyFont="1" applyFill="1" applyBorder="1" applyAlignment="1" applyProtection="1">
      <alignment horizontal="center"/>
      <protection locked="0"/>
    </xf>
    <xf numFmtId="165" fontId="1" fillId="0" borderId="46" xfId="0" applyNumberFormat="1" applyFont="1" applyFill="1" applyBorder="1" applyAlignment="1">
      <alignment horizontal="center"/>
    </xf>
    <xf numFmtId="164" fontId="1" fillId="11" borderId="4" xfId="0" applyNumberFormat="1" applyFont="1" applyFill="1" applyBorder="1" applyProtection="1">
      <protection locked="0"/>
    </xf>
    <xf numFmtId="164" fontId="1" fillId="4" borderId="4" xfId="0" applyNumberFormat="1" applyFont="1" applyFill="1" applyBorder="1" applyProtection="1">
      <protection locked="0"/>
    </xf>
    <xf numFmtId="0" fontId="1" fillId="5" borderId="3" xfId="0" applyFont="1" applyFill="1" applyBorder="1" applyProtection="1">
      <protection locked="0"/>
    </xf>
    <xf numFmtId="2" fontId="1" fillId="11" borderId="3" xfId="0" applyNumberFormat="1" applyFont="1" applyFill="1" applyBorder="1" applyAlignment="1" applyProtection="1">
      <alignment horizontal="center"/>
      <protection locked="0"/>
    </xf>
    <xf numFmtId="164" fontId="1" fillId="11" borderId="6" xfId="0" applyNumberFormat="1" applyFont="1" applyFill="1" applyBorder="1" applyAlignment="1" applyProtection="1">
      <alignment horizontal="center"/>
      <protection locked="0"/>
    </xf>
    <xf numFmtId="164" fontId="1" fillId="5" borderId="3" xfId="0" applyNumberFormat="1" applyFont="1" applyFill="1" applyBorder="1" applyAlignment="1" applyProtection="1">
      <alignment horizontal="center"/>
      <protection locked="0"/>
    </xf>
    <xf numFmtId="164" fontId="1" fillId="11" borderId="3" xfId="0" applyNumberFormat="1" applyFont="1" applyFill="1" applyBorder="1" applyAlignment="1" applyProtection="1">
      <alignment horizontal="center"/>
      <protection locked="0"/>
    </xf>
    <xf numFmtId="0" fontId="1" fillId="5" borderId="4" xfId="0" applyFont="1" applyFill="1" applyBorder="1" applyProtection="1">
      <protection locked="0"/>
    </xf>
    <xf numFmtId="2" fontId="1" fillId="11" borderId="4" xfId="0" applyNumberFormat="1" applyFont="1" applyFill="1" applyBorder="1" applyAlignment="1" applyProtection="1">
      <alignment horizontal="center"/>
      <protection locked="0"/>
    </xf>
    <xf numFmtId="164" fontId="1" fillId="11" borderId="15" xfId="0" applyNumberFormat="1" applyFont="1" applyFill="1" applyBorder="1" applyAlignment="1" applyProtection="1">
      <alignment horizontal="center"/>
      <protection locked="0"/>
    </xf>
    <xf numFmtId="164" fontId="1" fillId="5" borderId="4" xfId="0" applyNumberFormat="1" applyFont="1" applyFill="1" applyBorder="1" applyAlignment="1" applyProtection="1">
      <alignment horizontal="center"/>
      <protection locked="0"/>
    </xf>
    <xf numFmtId="0" fontId="1" fillId="5" borderId="12" xfId="0" applyFont="1" applyFill="1" applyBorder="1" applyProtection="1">
      <protection locked="0"/>
    </xf>
    <xf numFmtId="2" fontId="1" fillId="11" borderId="12" xfId="0" applyNumberFormat="1" applyFont="1" applyFill="1" applyBorder="1" applyAlignment="1" applyProtection="1">
      <alignment horizontal="center"/>
      <protection locked="0"/>
    </xf>
    <xf numFmtId="164" fontId="1" fillId="11" borderId="8" xfId="0" applyNumberFormat="1" applyFont="1" applyFill="1" applyBorder="1" applyAlignment="1" applyProtection="1">
      <alignment horizontal="center"/>
      <protection locked="0"/>
    </xf>
    <xf numFmtId="164" fontId="1" fillId="5" borderId="12" xfId="0" applyNumberFormat="1" applyFont="1" applyFill="1" applyBorder="1" applyAlignment="1" applyProtection="1">
      <alignment horizontal="center"/>
      <protection locked="0"/>
    </xf>
    <xf numFmtId="0" fontId="26" fillId="5" borderId="10" xfId="0" applyFont="1" applyFill="1" applyBorder="1" applyProtection="1">
      <protection locked="0"/>
    </xf>
    <xf numFmtId="2" fontId="1" fillId="5" borderId="13" xfId="0" applyNumberFormat="1" applyFont="1" applyFill="1" applyBorder="1" applyAlignment="1" applyProtection="1">
      <alignment horizontal="center"/>
      <protection locked="0"/>
    </xf>
    <xf numFmtId="164" fontId="1" fillId="5" borderId="13" xfId="0" applyNumberFormat="1" applyFont="1" applyFill="1" applyBorder="1" applyAlignment="1" applyProtection="1">
      <alignment horizontal="center"/>
      <protection locked="0"/>
    </xf>
    <xf numFmtId="164" fontId="1" fillId="5" borderId="14" xfId="0" applyNumberFormat="1" applyFont="1" applyFill="1" applyBorder="1" applyAlignment="1" applyProtection="1">
      <alignment horizontal="center"/>
      <protection locked="0"/>
    </xf>
    <xf numFmtId="0" fontId="26" fillId="5" borderId="11" xfId="0" applyFont="1" applyFill="1" applyBorder="1" applyProtection="1">
      <protection locked="0"/>
    </xf>
    <xf numFmtId="164" fontId="1" fillId="11" borderId="4" xfId="0" applyNumberFormat="1" applyFont="1" applyFill="1" applyBorder="1" applyAlignment="1" applyProtection="1">
      <alignment horizontal="center"/>
      <protection locked="0"/>
    </xf>
    <xf numFmtId="2" fontId="1" fillId="5" borderId="4" xfId="0" applyNumberFormat="1" applyFont="1" applyFill="1" applyBorder="1" applyAlignment="1" applyProtection="1">
      <alignment horizontal="center"/>
      <protection locked="0"/>
    </xf>
    <xf numFmtId="2" fontId="1" fillId="5" borderId="12" xfId="0" applyNumberFormat="1" applyFont="1" applyFill="1" applyBorder="1" applyAlignment="1" applyProtection="1">
      <alignment horizontal="center"/>
      <protection locked="0"/>
    </xf>
    <xf numFmtId="164" fontId="1" fillId="11" borderId="12" xfId="0" applyNumberFormat="1" applyFont="1" applyFill="1" applyBorder="1" applyAlignment="1" applyProtection="1">
      <alignment horizontal="center"/>
      <protection locked="0"/>
    </xf>
    <xf numFmtId="0" fontId="1" fillId="5" borderId="5" xfId="0" applyFont="1" applyFill="1" applyBorder="1" applyProtection="1">
      <protection locked="0"/>
    </xf>
    <xf numFmtId="2" fontId="1" fillId="11" borderId="9" xfId="0" applyNumberFormat="1" applyFont="1" applyFill="1" applyBorder="1" applyAlignment="1" applyProtection="1">
      <alignment horizontal="center"/>
      <protection locked="0"/>
    </xf>
    <xf numFmtId="164" fontId="1" fillId="5" borderId="6" xfId="0" applyNumberFormat="1" applyFont="1" applyFill="1" applyBorder="1" applyAlignment="1" applyProtection="1">
      <alignment horizontal="center"/>
      <protection locked="0"/>
    </xf>
    <xf numFmtId="0" fontId="1" fillId="5" borderId="9" xfId="0" applyFont="1" applyFill="1" applyBorder="1" applyProtection="1">
      <protection locked="0"/>
    </xf>
    <xf numFmtId="164" fontId="1" fillId="5" borderId="15" xfId="0" applyNumberFormat="1" applyFont="1" applyFill="1" applyBorder="1" applyAlignment="1" applyProtection="1">
      <alignment horizontal="center"/>
      <protection locked="0"/>
    </xf>
    <xf numFmtId="0" fontId="1" fillId="5" borderId="7" xfId="0" applyFont="1" applyFill="1" applyBorder="1" applyProtection="1">
      <protection locked="0"/>
    </xf>
    <xf numFmtId="2" fontId="1" fillId="5" borderId="9" xfId="0" applyNumberFormat="1" applyFont="1" applyFill="1" applyBorder="1" applyAlignment="1" applyProtection="1">
      <alignment horizontal="center"/>
      <protection locked="0"/>
    </xf>
    <xf numFmtId="2" fontId="1" fillId="5" borderId="11" xfId="0" applyNumberFormat="1" applyFont="1" applyFill="1" applyBorder="1" applyAlignment="1" applyProtection="1">
      <alignment horizontal="center"/>
      <protection locked="0"/>
    </xf>
    <xf numFmtId="164" fontId="1" fillId="5" borderId="2" xfId="0" applyNumberFormat="1" applyFont="1" applyFill="1" applyBorder="1" applyAlignment="1" applyProtection="1">
      <alignment horizontal="center"/>
      <protection locked="0"/>
    </xf>
    <xf numFmtId="164" fontId="1" fillId="5" borderId="1" xfId="0" applyNumberFormat="1" applyFont="1" applyFill="1" applyBorder="1" applyAlignment="1" applyProtection="1">
      <alignment horizontal="center"/>
      <protection locked="0"/>
    </xf>
    <xf numFmtId="2" fontId="1" fillId="11" borderId="5" xfId="0" applyNumberFormat="1" applyFont="1" applyFill="1" applyBorder="1" applyAlignment="1" applyProtection="1">
      <alignment horizontal="center"/>
      <protection locked="0"/>
    </xf>
    <xf numFmtId="2" fontId="1" fillId="5" borderId="7" xfId="0" applyNumberFormat="1" applyFont="1" applyFill="1" applyBorder="1" applyAlignment="1" applyProtection="1">
      <alignment horizontal="center"/>
      <protection locked="0"/>
    </xf>
    <xf numFmtId="2" fontId="19" fillId="11" borderId="3" xfId="0" applyNumberFormat="1" applyFont="1" applyFill="1" applyBorder="1" applyAlignment="1" applyProtection="1">
      <alignment horizontal="center"/>
      <protection locked="0"/>
    </xf>
    <xf numFmtId="2" fontId="19" fillId="11" borderId="4" xfId="0" applyNumberFormat="1" applyFont="1" applyFill="1" applyBorder="1" applyAlignment="1" applyProtection="1">
      <alignment horizontal="center"/>
      <protection locked="0"/>
    </xf>
    <xf numFmtId="164" fontId="19" fillId="11" borderId="4" xfId="0" applyNumberFormat="1" applyFont="1" applyFill="1" applyBorder="1" applyAlignment="1" applyProtection="1">
      <alignment horizontal="center"/>
      <protection locked="0"/>
    </xf>
    <xf numFmtId="0" fontId="19" fillId="5" borderId="4" xfId="0" applyFont="1" applyFill="1" applyBorder="1" applyProtection="1">
      <protection locked="0"/>
    </xf>
    <xf numFmtId="2" fontId="1" fillId="5" borderId="10" xfId="0" applyNumberFormat="1" applyFont="1" applyFill="1" applyBorder="1" applyAlignment="1" applyProtection="1">
      <alignment horizontal="center"/>
      <protection locked="0"/>
    </xf>
    <xf numFmtId="164" fontId="1" fillId="5" borderId="10" xfId="0" applyNumberFormat="1" applyFont="1" applyFill="1" applyBorder="1" applyAlignment="1" applyProtection="1">
      <alignment horizontal="center"/>
      <protection locked="0"/>
    </xf>
    <xf numFmtId="0" fontId="1" fillId="5" borderId="11" xfId="0" applyFont="1" applyFill="1" applyBorder="1" applyProtection="1">
      <protection locked="0"/>
    </xf>
    <xf numFmtId="166" fontId="1" fillId="11" borderId="10" xfId="0" applyNumberFormat="1" applyFont="1" applyFill="1" applyBorder="1" applyAlignment="1" applyProtection="1">
      <alignment horizontal="center"/>
      <protection locked="0"/>
    </xf>
    <xf numFmtId="2" fontId="19" fillId="5" borderId="10" xfId="0" applyNumberFormat="1" applyFont="1" applyFill="1" applyBorder="1" applyAlignment="1" applyProtection="1">
      <alignment horizontal="center"/>
      <protection locked="0"/>
    </xf>
    <xf numFmtId="164" fontId="19" fillId="5" borderId="10" xfId="0" applyNumberFormat="1" applyFont="1" applyFill="1" applyBorder="1" applyAlignment="1" applyProtection="1">
      <alignment horizontal="center"/>
      <protection locked="0"/>
    </xf>
    <xf numFmtId="0" fontId="1" fillId="5" borderId="10" xfId="0" applyFont="1" applyFill="1" applyBorder="1" applyProtection="1">
      <protection locked="0"/>
    </xf>
    <xf numFmtId="0" fontId="1" fillId="11" borderId="10" xfId="0" applyFont="1" applyFill="1" applyBorder="1" applyAlignment="1" applyProtection="1">
      <alignment horizontal="center"/>
      <protection locked="0"/>
    </xf>
    <xf numFmtId="0" fontId="1" fillId="5" borderId="10" xfId="0" applyFont="1" applyFill="1" applyBorder="1" applyAlignment="1" applyProtection="1">
      <alignment horizontal="center"/>
      <protection locked="0"/>
    </xf>
    <xf numFmtId="0" fontId="27" fillId="5" borderId="11" xfId="0" applyFont="1" applyFill="1" applyBorder="1" applyProtection="1">
      <protection locked="0"/>
    </xf>
    <xf numFmtId="0" fontId="1" fillId="5" borderId="11" xfId="0" applyFont="1" applyFill="1" applyBorder="1" applyAlignment="1" applyProtection="1">
      <alignment horizontal="center"/>
      <protection locked="0"/>
    </xf>
    <xf numFmtId="0" fontId="1" fillId="5" borderId="13" xfId="0" applyFont="1" applyFill="1" applyBorder="1" applyAlignment="1" applyProtection="1">
      <alignment horizontal="center"/>
      <protection locked="0"/>
    </xf>
    <xf numFmtId="8" fontId="1" fillId="11" borderId="10" xfId="0" applyNumberFormat="1" applyFont="1" applyFill="1" applyBorder="1" applyAlignment="1" applyProtection="1">
      <alignment horizontal="center"/>
      <protection locked="0"/>
    </xf>
    <xf numFmtId="0" fontId="1" fillId="5" borderId="13" xfId="0" applyFont="1" applyFill="1" applyBorder="1" applyProtection="1">
      <protection locked="0"/>
    </xf>
    <xf numFmtId="2" fontId="1" fillId="5" borderId="3" xfId="0" applyNumberFormat="1" applyFont="1" applyFill="1" applyBorder="1" applyAlignment="1" applyProtection="1">
      <alignment horizontal="center"/>
      <protection locked="0"/>
    </xf>
    <xf numFmtId="0" fontId="19" fillId="5" borderId="3" xfId="0" applyFont="1" applyFill="1" applyBorder="1" applyProtection="1">
      <protection locked="0"/>
    </xf>
    <xf numFmtId="166" fontId="1" fillId="11" borderId="3" xfId="0" applyNumberFormat="1" applyFont="1" applyFill="1" applyBorder="1" applyAlignment="1" applyProtection="1">
      <alignment horizontal="center"/>
      <protection locked="0"/>
    </xf>
    <xf numFmtId="166" fontId="1" fillId="11" borderId="4" xfId="0" applyNumberFormat="1" applyFont="1" applyFill="1" applyBorder="1" applyAlignment="1" applyProtection="1">
      <alignment horizontal="center"/>
      <protection locked="0"/>
    </xf>
    <xf numFmtId="0" fontId="1" fillId="11" borderId="4" xfId="0" applyFont="1" applyFill="1" applyBorder="1" applyAlignment="1" applyProtection="1">
      <alignment horizontal="center"/>
      <protection locked="0"/>
    </xf>
    <xf numFmtId="0" fontId="1" fillId="5" borderId="4" xfId="0" applyFont="1" applyFill="1" applyBorder="1" applyAlignment="1" applyProtection="1">
      <alignment horizontal="center"/>
      <protection locked="0"/>
    </xf>
    <xf numFmtId="171" fontId="1" fillId="5" borderId="0" xfId="5" applyNumberFormat="1" applyFont="1" applyFill="1"/>
    <xf numFmtId="0" fontId="18" fillId="0" borderId="25" xfId="0" applyFont="1" applyBorder="1" applyAlignment="1">
      <alignment horizontal="center" vertical="center" wrapText="1"/>
    </xf>
    <xf numFmtId="0" fontId="1" fillId="5" borderId="27" xfId="0" applyFont="1" applyFill="1" applyBorder="1" applyAlignment="1">
      <alignment horizontal="left" vertical="top" wrapText="1"/>
    </xf>
    <xf numFmtId="0" fontId="1" fillId="5" borderId="23" xfId="0" applyFont="1" applyFill="1" applyBorder="1" applyAlignment="1">
      <alignment horizontal="left" vertical="top" wrapText="1"/>
    </xf>
    <xf numFmtId="0" fontId="1" fillId="5" borderId="28" xfId="0" applyFont="1" applyFill="1" applyBorder="1" applyAlignment="1">
      <alignment horizontal="left" vertical="top" wrapText="1"/>
    </xf>
    <xf numFmtId="0" fontId="1" fillId="5" borderId="32" xfId="0" applyFont="1" applyFill="1" applyBorder="1" applyAlignment="1">
      <alignment horizontal="left" vertical="top" wrapText="1"/>
    </xf>
    <xf numFmtId="0" fontId="1" fillId="5" borderId="0" xfId="0" applyFont="1" applyFill="1" applyBorder="1" applyAlignment="1">
      <alignment horizontal="left" vertical="top" wrapText="1"/>
    </xf>
    <xf numFmtId="0" fontId="1" fillId="5" borderId="33" xfId="0" applyFont="1" applyFill="1" applyBorder="1" applyAlignment="1">
      <alignment horizontal="left" vertical="top" wrapText="1"/>
    </xf>
    <xf numFmtId="0" fontId="1" fillId="5" borderId="30" xfId="0" applyFont="1" applyFill="1" applyBorder="1" applyAlignment="1">
      <alignment horizontal="left" vertical="top" wrapText="1"/>
    </xf>
    <xf numFmtId="0" fontId="1" fillId="5" borderId="16" xfId="0" applyFont="1" applyFill="1" applyBorder="1" applyAlignment="1">
      <alignment horizontal="left" vertical="top" wrapText="1"/>
    </xf>
    <xf numFmtId="0" fontId="1" fillId="5" borderId="31" xfId="0" applyFont="1" applyFill="1" applyBorder="1" applyAlignment="1">
      <alignment horizontal="left" vertical="top" wrapText="1"/>
    </xf>
    <xf numFmtId="0" fontId="1" fillId="0" borderId="27" xfId="0" applyFont="1" applyBorder="1" applyAlignment="1">
      <alignment horizontal="left" vertical="center" wrapText="1"/>
    </xf>
    <xf numFmtId="0" fontId="1" fillId="0" borderId="23" xfId="0" applyFont="1" applyBorder="1" applyAlignment="1">
      <alignment horizontal="left" vertical="center" wrapText="1"/>
    </xf>
    <xf numFmtId="0" fontId="1" fillId="0" borderId="28" xfId="0" applyFont="1" applyBorder="1" applyAlignment="1">
      <alignment horizontal="left" vertical="center" wrapText="1"/>
    </xf>
    <xf numFmtId="0" fontId="1" fillId="0" borderId="32" xfId="0" applyFont="1" applyBorder="1" applyAlignment="1">
      <alignment horizontal="left" vertical="center" wrapText="1"/>
    </xf>
    <xf numFmtId="0" fontId="1" fillId="0" borderId="0" xfId="0" applyFont="1" applyBorder="1" applyAlignment="1">
      <alignment horizontal="left" vertical="center" wrapText="1"/>
    </xf>
    <xf numFmtId="0" fontId="1" fillId="0" borderId="33" xfId="0" applyFont="1" applyBorder="1" applyAlignment="1">
      <alignment horizontal="left" vertical="center" wrapText="1"/>
    </xf>
    <xf numFmtId="0" fontId="1" fillId="0" borderId="30" xfId="0" applyFont="1" applyBorder="1" applyAlignment="1">
      <alignment horizontal="left" vertical="center" wrapText="1"/>
    </xf>
    <xf numFmtId="0" fontId="1" fillId="0" borderId="16" xfId="0" applyFont="1" applyBorder="1" applyAlignment="1">
      <alignment horizontal="left" vertical="center" wrapText="1"/>
    </xf>
    <xf numFmtId="0" fontId="1" fillId="0" borderId="31" xfId="0" applyFont="1" applyBorder="1" applyAlignment="1">
      <alignment horizontal="left" vertical="center" wrapText="1"/>
    </xf>
    <xf numFmtId="0" fontId="18" fillId="0" borderId="29" xfId="0" applyFont="1" applyBorder="1" applyAlignment="1">
      <alignment horizontal="center" vertical="center"/>
    </xf>
    <xf numFmtId="0" fontId="18" fillId="0" borderId="29" xfId="0" applyFont="1" applyBorder="1" applyAlignment="1">
      <alignment horizontal="center" vertical="center" wrapText="1"/>
    </xf>
    <xf numFmtId="0" fontId="1" fillId="0" borderId="25" xfId="0" applyFont="1" applyBorder="1" applyAlignment="1">
      <alignment horizontal="left" wrapText="1"/>
    </xf>
    <xf numFmtId="0" fontId="1" fillId="0" borderId="17" xfId="0" applyFont="1" applyBorder="1" applyAlignment="1">
      <alignment horizontal="left" wrapText="1"/>
    </xf>
    <xf numFmtId="0" fontId="1" fillId="0" borderId="26" xfId="0" applyFont="1" applyBorder="1" applyAlignment="1">
      <alignment horizontal="left" wrapText="1"/>
    </xf>
    <xf numFmtId="0" fontId="2" fillId="0" borderId="29" xfId="0" applyFont="1" applyBorder="1" applyAlignment="1">
      <alignment horizontal="center" vertical="center"/>
    </xf>
    <xf numFmtId="0" fontId="15" fillId="8" borderId="25" xfId="0" applyFont="1" applyFill="1" applyBorder="1" applyAlignment="1">
      <alignment horizontal="center"/>
    </xf>
    <xf numFmtId="0" fontId="15" fillId="8" borderId="17" xfId="0" applyFont="1" applyFill="1" applyBorder="1" applyAlignment="1">
      <alignment horizontal="center"/>
    </xf>
    <xf numFmtId="0" fontId="15" fillId="8" borderId="26" xfId="0" applyFont="1" applyFill="1" applyBorder="1" applyAlignment="1">
      <alignment horizontal="center"/>
    </xf>
    <xf numFmtId="0" fontId="1" fillId="0" borderId="25"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25" xfId="0" applyFont="1" applyBorder="1" applyAlignment="1">
      <alignment horizontal="left" vertical="center" wrapText="1"/>
    </xf>
    <xf numFmtId="0" fontId="1" fillId="0" borderId="17" xfId="0" applyFont="1" applyBorder="1" applyAlignment="1">
      <alignment horizontal="left" vertical="center" wrapText="1"/>
    </xf>
    <xf numFmtId="0" fontId="1" fillId="0" borderId="26" xfId="0" applyFont="1" applyBorder="1" applyAlignment="1">
      <alignment horizontal="left" vertical="center" wrapText="1"/>
    </xf>
    <xf numFmtId="0" fontId="0" fillId="0" borderId="29" xfId="0" applyBorder="1" applyAlignment="1">
      <alignment horizontal="center" vertical="center" wrapText="1"/>
    </xf>
    <xf numFmtId="0" fontId="19" fillId="0" borderId="27" xfId="0" applyFont="1" applyBorder="1" applyAlignment="1">
      <alignment horizontal="left" vertical="center" wrapText="1"/>
    </xf>
    <xf numFmtId="0" fontId="19" fillId="0" borderId="23" xfId="0" applyFont="1" applyBorder="1" applyAlignment="1">
      <alignment horizontal="left" vertical="center" wrapText="1"/>
    </xf>
    <xf numFmtId="0" fontId="19" fillId="0" borderId="28" xfId="0" applyFont="1" applyBorder="1" applyAlignment="1">
      <alignment horizontal="left" vertical="center" wrapText="1"/>
    </xf>
    <xf numFmtId="0" fontId="19" fillId="0" borderId="30" xfId="0" applyFont="1" applyBorder="1" applyAlignment="1">
      <alignment horizontal="left" vertical="center" wrapText="1"/>
    </xf>
    <xf numFmtId="0" fontId="19" fillId="0" borderId="16" xfId="0" applyFont="1" applyBorder="1" applyAlignment="1">
      <alignment horizontal="left" vertical="center" wrapText="1"/>
    </xf>
    <xf numFmtId="0" fontId="19" fillId="0" borderId="31" xfId="0" applyFont="1" applyBorder="1" applyAlignment="1">
      <alignment horizontal="left" vertical="center" wrapText="1"/>
    </xf>
    <xf numFmtId="0" fontId="0" fillId="0" borderId="24" xfId="0" applyBorder="1" applyAlignment="1">
      <alignment horizontal="center" vertical="center" wrapText="1"/>
    </xf>
    <xf numFmtId="0" fontId="0" fillId="0" borderId="38" xfId="0" applyBorder="1" applyAlignment="1">
      <alignment horizontal="center" vertical="center" wrapText="1"/>
    </xf>
    <xf numFmtId="0" fontId="15" fillId="8" borderId="25" xfId="0" applyFont="1" applyFill="1" applyBorder="1" applyAlignment="1">
      <alignment horizontal="center" vertical="center" wrapText="1"/>
    </xf>
    <xf numFmtId="0" fontId="15" fillId="8" borderId="17" xfId="0" applyFont="1" applyFill="1" applyBorder="1" applyAlignment="1">
      <alignment horizontal="center" vertical="center" wrapText="1"/>
    </xf>
    <xf numFmtId="0" fontId="15" fillId="8" borderId="26" xfId="0" applyFont="1" applyFill="1" applyBorder="1" applyAlignment="1">
      <alignment horizontal="center" vertical="center" wrapText="1"/>
    </xf>
    <xf numFmtId="0" fontId="28" fillId="0" borderId="23" xfId="0" applyFont="1" applyBorder="1" applyAlignment="1">
      <alignment horizontal="left" vertical="center" wrapText="1"/>
    </xf>
    <xf numFmtId="0" fontId="28" fillId="0" borderId="28" xfId="0" applyFont="1" applyBorder="1" applyAlignment="1">
      <alignment horizontal="left" vertical="center" wrapText="1"/>
    </xf>
    <xf numFmtId="0" fontId="28" fillId="0" borderId="32" xfId="0" applyFont="1" applyBorder="1" applyAlignment="1">
      <alignment horizontal="left" vertical="center" wrapText="1"/>
    </xf>
    <xf numFmtId="0" fontId="28" fillId="0" borderId="0" xfId="0" applyFont="1" applyBorder="1" applyAlignment="1">
      <alignment horizontal="left" vertical="center" wrapText="1"/>
    </xf>
    <xf numFmtId="0" fontId="28" fillId="0" borderId="33" xfId="0" applyFont="1" applyBorder="1" applyAlignment="1">
      <alignment horizontal="left" vertical="center" wrapText="1"/>
    </xf>
    <xf numFmtId="0" fontId="28" fillId="0" borderId="30" xfId="0" applyFont="1" applyBorder="1" applyAlignment="1">
      <alignment horizontal="left" vertical="center" wrapText="1"/>
    </xf>
    <xf numFmtId="0" fontId="28" fillId="0" borderId="16" xfId="0" applyFont="1" applyBorder="1" applyAlignment="1">
      <alignment horizontal="left" vertical="center" wrapText="1"/>
    </xf>
    <xf numFmtId="0" fontId="28" fillId="0" borderId="31" xfId="0" applyFont="1" applyBorder="1" applyAlignment="1">
      <alignment horizontal="left" vertical="center" wrapText="1"/>
    </xf>
    <xf numFmtId="0" fontId="18" fillId="6" borderId="32" xfId="0" applyFont="1" applyFill="1" applyBorder="1" applyAlignment="1">
      <alignment horizontal="center" vertical="center" wrapText="1"/>
    </xf>
    <xf numFmtId="0" fontId="1" fillId="0" borderId="27" xfId="0" applyFont="1" applyBorder="1" applyAlignment="1">
      <alignment horizontal="left" vertical="top" wrapText="1"/>
    </xf>
    <xf numFmtId="0" fontId="1" fillId="0" borderId="23" xfId="0" applyFont="1" applyBorder="1" applyAlignment="1">
      <alignment horizontal="left" vertical="top" wrapText="1"/>
    </xf>
    <xf numFmtId="0" fontId="1" fillId="0" borderId="28" xfId="0" applyFont="1" applyBorder="1" applyAlignment="1">
      <alignment horizontal="left" vertical="top" wrapText="1"/>
    </xf>
    <xf numFmtId="0" fontId="1" fillId="0" borderId="32" xfId="0" applyFont="1" applyBorder="1" applyAlignment="1">
      <alignment horizontal="left" vertical="top" wrapText="1"/>
    </xf>
    <xf numFmtId="0" fontId="1" fillId="0" borderId="0" xfId="0" applyFont="1" applyBorder="1" applyAlignment="1">
      <alignment horizontal="left" vertical="top" wrapText="1"/>
    </xf>
    <xf numFmtId="0" fontId="1" fillId="0" borderId="33" xfId="0" applyFont="1" applyBorder="1" applyAlignment="1">
      <alignment horizontal="left" vertical="top" wrapText="1"/>
    </xf>
    <xf numFmtId="0" fontId="1" fillId="0" borderId="30" xfId="0" applyFont="1" applyBorder="1" applyAlignment="1">
      <alignment horizontal="left" vertical="top" wrapText="1"/>
    </xf>
    <xf numFmtId="0" fontId="1" fillId="0" borderId="16" xfId="0" applyFont="1" applyBorder="1" applyAlignment="1">
      <alignment horizontal="left" vertical="top" wrapText="1"/>
    </xf>
    <xf numFmtId="0" fontId="1" fillId="0" borderId="31" xfId="0" applyFont="1" applyBorder="1" applyAlignment="1">
      <alignment horizontal="left" vertical="top" wrapText="1"/>
    </xf>
    <xf numFmtId="0" fontId="18" fillId="10" borderId="27" xfId="0" applyFont="1" applyFill="1" applyBorder="1" applyAlignment="1">
      <alignment horizontal="center" vertical="center" wrapText="1"/>
    </xf>
    <xf numFmtId="0" fontId="18" fillId="10" borderId="32" xfId="0" applyFont="1" applyFill="1" applyBorder="1" applyAlignment="1">
      <alignment horizontal="center" vertical="center" wrapText="1"/>
    </xf>
    <xf numFmtId="0" fontId="17" fillId="11" borderId="0" xfId="0" applyFont="1" applyFill="1" applyBorder="1" applyAlignment="1">
      <alignment horizontal="center"/>
    </xf>
    <xf numFmtId="0" fontId="16" fillId="9" borderId="0" xfId="0" applyFont="1" applyFill="1" applyBorder="1" applyAlignment="1">
      <alignment horizontal="left"/>
    </xf>
    <xf numFmtId="0" fontId="16" fillId="9" borderId="33" xfId="0" applyFont="1" applyFill="1" applyBorder="1" applyAlignment="1">
      <alignment horizontal="left"/>
    </xf>
    <xf numFmtId="0" fontId="10" fillId="0" borderId="17" xfId="0" applyFont="1" applyBorder="1" applyAlignment="1">
      <alignment horizontal="left"/>
    </xf>
    <xf numFmtId="0" fontId="10" fillId="0" borderId="26" xfId="0" applyFont="1" applyBorder="1" applyAlignment="1">
      <alignment horizontal="left"/>
    </xf>
    <xf numFmtId="0" fontId="15" fillId="8" borderId="30" xfId="0" applyFont="1" applyFill="1" applyBorder="1" applyAlignment="1">
      <alignment horizontal="center"/>
    </xf>
    <xf numFmtId="0" fontId="15" fillId="8" borderId="16" xfId="0" applyFont="1" applyFill="1" applyBorder="1" applyAlignment="1">
      <alignment horizontal="center"/>
    </xf>
    <xf numFmtId="0" fontId="15" fillId="8" borderId="31" xfId="0" applyFont="1" applyFill="1" applyBorder="1" applyAlignment="1">
      <alignment horizontal="center"/>
    </xf>
    <xf numFmtId="0" fontId="19" fillId="0" borderId="25" xfId="0" applyFont="1" applyBorder="1" applyAlignment="1">
      <alignment horizontal="left" vertical="center" wrapText="1"/>
    </xf>
    <xf numFmtId="0" fontId="0" fillId="0" borderId="24" xfId="0"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15" fillId="8" borderId="25" xfId="0" applyFont="1" applyFill="1" applyBorder="1" applyAlignment="1">
      <alignment horizontal="center" wrapText="1"/>
    </xf>
    <xf numFmtId="0" fontId="15" fillId="8" borderId="17" xfId="0" applyFont="1" applyFill="1" applyBorder="1" applyAlignment="1">
      <alignment horizontal="center" wrapText="1"/>
    </xf>
    <xf numFmtId="0" fontId="15" fillId="8" borderId="26" xfId="0" applyFont="1" applyFill="1" applyBorder="1" applyAlignment="1">
      <alignment horizontal="center" wrapText="1"/>
    </xf>
    <xf numFmtId="0" fontId="15" fillId="8" borderId="25" xfId="0" applyFont="1" applyFill="1" applyBorder="1" applyAlignment="1">
      <alignment horizontal="center" vertical="top" wrapText="1"/>
    </xf>
    <xf numFmtId="0" fontId="15" fillId="8" borderId="17" xfId="0" applyFont="1" applyFill="1" applyBorder="1" applyAlignment="1">
      <alignment horizontal="center" vertical="top" wrapText="1"/>
    </xf>
    <xf numFmtId="0" fontId="15" fillId="8" borderId="26" xfId="0" applyFont="1" applyFill="1" applyBorder="1" applyAlignment="1">
      <alignment horizontal="center" vertical="top" wrapText="1"/>
    </xf>
    <xf numFmtId="0" fontId="20" fillId="0" borderId="33" xfId="0" applyFont="1" applyBorder="1" applyAlignment="1">
      <alignment horizontal="center" vertical="center" wrapText="1"/>
    </xf>
    <xf numFmtId="0" fontId="20" fillId="0" borderId="31" xfId="0" applyFont="1" applyBorder="1" applyAlignment="1">
      <alignment horizontal="center" vertical="center" wrapText="1"/>
    </xf>
    <xf numFmtId="0" fontId="3" fillId="0" borderId="11"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1" fillId="0" borderId="5" xfId="0" applyFont="1" applyBorder="1" applyAlignment="1">
      <alignment horizontal="center"/>
    </xf>
    <xf numFmtId="0" fontId="1" fillId="0" borderId="1" xfId="0" applyFont="1" applyBorder="1" applyAlignment="1">
      <alignment horizontal="center"/>
    </xf>
    <xf numFmtId="0" fontId="1" fillId="0" borderId="9" xfId="0" applyFont="1" applyBorder="1" applyAlignment="1">
      <alignment horizontal="center"/>
    </xf>
    <xf numFmtId="0" fontId="1" fillId="0" borderId="0" xfId="0" applyFont="1" applyBorder="1" applyAlignment="1">
      <alignment horizontal="center"/>
    </xf>
    <xf numFmtId="0" fontId="1" fillId="0" borderId="7" xfId="0" applyFont="1" applyBorder="1" applyAlignment="1">
      <alignment horizontal="center"/>
    </xf>
    <xf numFmtId="0" fontId="1" fillId="0" borderId="2" xfId="0" applyFont="1" applyBorder="1" applyAlignment="1">
      <alignment horizontal="center"/>
    </xf>
    <xf numFmtId="0" fontId="1" fillId="0" borderId="11" xfId="0" applyFont="1" applyBorder="1" applyAlignment="1">
      <alignment horizontal="center"/>
    </xf>
    <xf numFmtId="0" fontId="1" fillId="0" borderId="14" xfId="0" applyFont="1" applyBorder="1" applyAlignment="1">
      <alignment horizontal="center"/>
    </xf>
    <xf numFmtId="0" fontId="1" fillId="0" borderId="8" xfId="0" applyFont="1" applyBorder="1" applyAlignment="1">
      <alignment horizontal="center"/>
    </xf>
    <xf numFmtId="0" fontId="1" fillId="0" borderId="10" xfId="0" applyFont="1" applyBorder="1" applyAlignment="1">
      <alignment horizontal="center"/>
    </xf>
    <xf numFmtId="0" fontId="1" fillId="5" borderId="45" xfId="0" applyFont="1" applyFill="1" applyBorder="1" applyAlignment="1">
      <alignment horizontal="right"/>
    </xf>
    <xf numFmtId="0" fontId="1" fillId="5" borderId="46" xfId="0" applyFont="1" applyFill="1" applyBorder="1" applyAlignment="1">
      <alignment horizontal="right"/>
    </xf>
    <xf numFmtId="0" fontId="1" fillId="5" borderId="18" xfId="0" applyFont="1" applyFill="1" applyBorder="1" applyAlignment="1">
      <alignment horizontal="right"/>
    </xf>
    <xf numFmtId="0" fontId="1" fillId="5" borderId="0" xfId="0" applyFont="1" applyFill="1" applyAlignment="1">
      <alignment horizontal="left"/>
    </xf>
    <xf numFmtId="0" fontId="1" fillId="5" borderId="40" xfId="0" applyFont="1" applyFill="1" applyBorder="1" applyAlignment="1">
      <alignment horizontal="right"/>
    </xf>
    <xf numFmtId="0" fontId="1" fillId="5" borderId="41" xfId="0" applyFont="1" applyFill="1" applyBorder="1" applyAlignment="1">
      <alignment horizontal="right"/>
    </xf>
    <xf numFmtId="0" fontId="1" fillId="5" borderId="35" xfId="0" applyFont="1" applyFill="1" applyBorder="1" applyAlignment="1">
      <alignment horizontal="right"/>
    </xf>
    <xf numFmtId="0" fontId="1" fillId="5" borderId="43" xfId="0" applyFont="1" applyFill="1" applyBorder="1" applyAlignment="1">
      <alignment horizontal="right"/>
    </xf>
    <xf numFmtId="0" fontId="1" fillId="5" borderId="10" xfId="0" applyFont="1" applyFill="1" applyBorder="1" applyAlignment="1">
      <alignment horizontal="right"/>
    </xf>
    <xf numFmtId="0" fontId="1" fillId="5" borderId="11" xfId="0" applyFont="1" applyFill="1" applyBorder="1" applyAlignment="1">
      <alignment horizontal="right"/>
    </xf>
    <xf numFmtId="0" fontId="12" fillId="0" borderId="11" xfId="0" applyFont="1" applyBorder="1" applyAlignment="1">
      <alignment horizontal="center"/>
    </xf>
    <xf numFmtId="0" fontId="12" fillId="0" borderId="13" xfId="0" applyFont="1" applyBorder="1" applyAlignment="1">
      <alignment horizontal="center"/>
    </xf>
    <xf numFmtId="0" fontId="12" fillId="0" borderId="14" xfId="0" applyFont="1" applyBorder="1" applyAlignment="1">
      <alignment horizontal="center"/>
    </xf>
    <xf numFmtId="0" fontId="18" fillId="7" borderId="11" xfId="0" applyFont="1" applyFill="1" applyBorder="1" applyAlignment="1">
      <alignment horizontal="center"/>
    </xf>
    <xf numFmtId="0" fontId="18" fillId="7" borderId="13" xfId="0" applyFont="1" applyFill="1" applyBorder="1" applyAlignment="1">
      <alignment horizontal="center"/>
    </xf>
    <xf numFmtId="0" fontId="18" fillId="7" borderId="14" xfId="0" applyFont="1" applyFill="1" applyBorder="1" applyAlignment="1">
      <alignment horizontal="center"/>
    </xf>
    <xf numFmtId="0" fontId="25" fillId="0" borderId="11" xfId="0" applyFont="1" applyFill="1" applyBorder="1" applyAlignment="1">
      <alignment horizontal="left"/>
    </xf>
    <xf numFmtId="0" fontId="25" fillId="0" borderId="13" xfId="0" applyFont="1" applyFill="1" applyBorder="1" applyAlignment="1">
      <alignment horizontal="left"/>
    </xf>
    <xf numFmtId="0" fontId="25" fillId="0" borderId="14" xfId="0" applyFont="1" applyFill="1" applyBorder="1" applyAlignment="1">
      <alignment horizontal="left"/>
    </xf>
    <xf numFmtId="0" fontId="22" fillId="7" borderId="25" xfId="0" applyFont="1" applyFill="1" applyBorder="1" applyAlignment="1">
      <alignment horizontal="center" wrapText="1"/>
    </xf>
    <xf numFmtId="0" fontId="22" fillId="7" borderId="17" xfId="0" applyFont="1" applyFill="1" applyBorder="1" applyAlignment="1">
      <alignment horizontal="center" wrapText="1"/>
    </xf>
    <xf numFmtId="0" fontId="22" fillId="7" borderId="26" xfId="0" applyFont="1" applyFill="1" applyBorder="1" applyAlignment="1">
      <alignment horizontal="center" wrapText="1"/>
    </xf>
    <xf numFmtId="0" fontId="22" fillId="10" borderId="25" xfId="0" applyFont="1" applyFill="1" applyBorder="1" applyAlignment="1">
      <alignment horizontal="center" wrapText="1"/>
    </xf>
    <xf numFmtId="0" fontId="22" fillId="10" borderId="17" xfId="0" applyFont="1" applyFill="1" applyBorder="1" applyAlignment="1">
      <alignment horizontal="center" wrapText="1"/>
    </xf>
    <xf numFmtId="0" fontId="22" fillId="10" borderId="26" xfId="0" applyFont="1" applyFill="1" applyBorder="1" applyAlignment="1">
      <alignment horizontal="center" wrapText="1"/>
    </xf>
    <xf numFmtId="0" fontId="23" fillId="0" borderId="35" xfId="0" applyFont="1" applyFill="1" applyBorder="1" applyAlignment="1">
      <alignment horizontal="left" vertical="top" wrapText="1"/>
    </xf>
    <xf numFmtId="0" fontId="23" fillId="0" borderId="36" xfId="0" applyFont="1" applyFill="1" applyBorder="1" applyAlignment="1">
      <alignment horizontal="left" vertical="top" wrapText="1"/>
    </xf>
    <xf numFmtId="0" fontId="23" fillId="0" borderId="37" xfId="0" applyFont="1" applyFill="1" applyBorder="1" applyAlignment="1">
      <alignment horizontal="left" vertical="top" wrapText="1"/>
    </xf>
    <xf numFmtId="0" fontId="23" fillId="0" borderId="11" xfId="0" applyFont="1" applyFill="1" applyBorder="1" applyAlignment="1">
      <alignment horizontal="left"/>
    </xf>
    <xf numFmtId="0" fontId="23" fillId="0" borderId="13" xfId="0" applyFont="1" applyFill="1" applyBorder="1" applyAlignment="1">
      <alignment horizontal="left"/>
    </xf>
    <xf numFmtId="0" fontId="23" fillId="0" borderId="14" xfId="0" applyFont="1" applyFill="1" applyBorder="1" applyAlignment="1">
      <alignment horizontal="left"/>
    </xf>
    <xf numFmtId="0" fontId="26" fillId="5" borderId="11" xfId="0" applyFont="1" applyFill="1" applyBorder="1" applyAlignment="1">
      <alignment horizontal="center"/>
    </xf>
    <xf numFmtId="0" fontId="26" fillId="5" borderId="14" xfId="0" applyFont="1" applyFill="1" applyBorder="1" applyAlignment="1">
      <alignment horizontal="center"/>
    </xf>
    <xf numFmtId="0" fontId="13" fillId="0" borderId="11" xfId="0" applyFont="1" applyBorder="1" applyAlignment="1">
      <alignment horizontal="center"/>
    </xf>
    <xf numFmtId="0" fontId="14" fillId="0" borderId="13" xfId="0" applyFont="1" applyBorder="1" applyAlignment="1">
      <alignment horizontal="center"/>
    </xf>
    <xf numFmtId="0" fontId="14" fillId="0" borderId="14" xfId="0" applyFont="1" applyBorder="1" applyAlignment="1">
      <alignment horizontal="center"/>
    </xf>
    <xf numFmtId="0" fontId="18" fillId="6" borderId="11" xfId="0" applyFont="1" applyFill="1" applyBorder="1" applyAlignment="1">
      <alignment horizontal="center"/>
    </xf>
    <xf numFmtId="0" fontId="18" fillId="6" borderId="13" xfId="0" applyFont="1" applyFill="1" applyBorder="1" applyAlignment="1">
      <alignment horizontal="center"/>
    </xf>
    <xf numFmtId="0" fontId="18" fillId="6" borderId="14" xfId="0" applyFont="1" applyFill="1" applyBorder="1" applyAlignment="1">
      <alignment horizontal="center"/>
    </xf>
    <xf numFmtId="0" fontId="4" fillId="0" borderId="11"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164" fontId="1" fillId="5" borderId="3" xfId="0" applyNumberFormat="1" applyFont="1" applyFill="1" applyBorder="1" applyAlignment="1">
      <alignment horizontal="center" vertical="center" wrapText="1"/>
    </xf>
    <xf numFmtId="164" fontId="1" fillId="5" borderId="12" xfId="0" applyNumberFormat="1" applyFont="1" applyFill="1" applyBorder="1" applyAlignment="1">
      <alignment horizontal="center" vertical="center" wrapText="1"/>
    </xf>
    <xf numFmtId="164" fontId="1" fillId="5" borderId="4" xfId="0" applyNumberFormat="1" applyFont="1" applyFill="1" applyBorder="1" applyAlignment="1">
      <alignment horizontal="center" vertical="center"/>
    </xf>
    <xf numFmtId="164" fontId="1" fillId="5" borderId="12" xfId="0" applyNumberFormat="1" applyFont="1" applyFill="1" applyBorder="1" applyAlignment="1">
      <alignment horizontal="center" vertical="center"/>
    </xf>
    <xf numFmtId="0" fontId="1" fillId="5" borderId="18" xfId="0" applyFont="1" applyFill="1" applyBorder="1" applyAlignment="1">
      <alignment horizontal="center" wrapText="1"/>
    </xf>
    <xf numFmtId="0" fontId="1" fillId="5" borderId="19" xfId="0" applyFont="1" applyFill="1" applyBorder="1" applyAlignment="1">
      <alignment horizontal="center" wrapText="1"/>
    </xf>
    <xf numFmtId="0" fontId="1" fillId="5" borderId="20" xfId="0" applyFont="1" applyFill="1" applyBorder="1" applyAlignment="1">
      <alignment horizontal="center" wrapText="1"/>
    </xf>
    <xf numFmtId="0" fontId="1" fillId="5" borderId="21" xfId="0" applyFont="1" applyFill="1" applyBorder="1" applyAlignment="1">
      <alignment horizontal="center"/>
    </xf>
    <xf numFmtId="0" fontId="1" fillId="5" borderId="17" xfId="0" applyFont="1" applyFill="1" applyBorder="1" applyAlignment="1">
      <alignment horizontal="center"/>
    </xf>
    <xf numFmtId="0" fontId="1" fillId="5" borderId="22" xfId="0" applyFont="1" applyFill="1" applyBorder="1" applyAlignment="1">
      <alignment horizontal="center"/>
    </xf>
    <xf numFmtId="164" fontId="1" fillId="5" borderId="3" xfId="0" applyNumberFormat="1" applyFont="1" applyFill="1" applyBorder="1" applyAlignment="1">
      <alignment horizontal="center" vertical="center"/>
    </xf>
    <xf numFmtId="0" fontId="1" fillId="0" borderId="0" xfId="0" applyFont="1" applyAlignment="1">
      <alignment horizontal="center"/>
    </xf>
    <xf numFmtId="0" fontId="1" fillId="0" borderId="0" xfId="0" applyFont="1" applyAlignment="1">
      <alignment horizontal="left"/>
    </xf>
    <xf numFmtId="0" fontId="10" fillId="0" borderId="0" xfId="0" applyFont="1" applyAlignment="1"/>
    <xf numFmtId="0" fontId="10" fillId="0" borderId="0" xfId="0" applyFont="1" applyAlignment="1">
      <alignment horizontal="center"/>
    </xf>
    <xf numFmtId="0" fontId="15" fillId="0" borderId="0" xfId="0" applyFont="1" applyAlignment="1">
      <alignment horizontal="center"/>
    </xf>
    <xf numFmtId="0" fontId="23" fillId="0" borderId="35" xfId="0" applyFont="1" applyFill="1" applyBorder="1" applyAlignment="1">
      <alignment horizontal="left" wrapText="1"/>
    </xf>
    <xf numFmtId="0" fontId="23" fillId="0" borderId="36" xfId="0" applyFont="1" applyFill="1" applyBorder="1" applyAlignment="1">
      <alignment horizontal="left" wrapText="1"/>
    </xf>
    <xf numFmtId="0" fontId="23" fillId="0" borderId="37" xfId="0" applyFont="1" applyFill="1" applyBorder="1" applyAlignment="1">
      <alignment horizontal="left" wrapText="1"/>
    </xf>
    <xf numFmtId="0" fontId="22" fillId="6" borderId="25" xfId="0" applyFont="1" applyFill="1" applyBorder="1" applyAlignment="1">
      <alignment horizontal="center"/>
    </xf>
    <xf numFmtId="0" fontId="22" fillId="6" borderId="17" xfId="0" applyFont="1" applyFill="1" applyBorder="1" applyAlignment="1">
      <alignment horizontal="center"/>
    </xf>
    <xf numFmtId="0" fontId="22" fillId="6" borderId="26" xfId="0" applyFont="1" applyFill="1" applyBorder="1" applyAlignment="1">
      <alignment horizontal="center"/>
    </xf>
  </cellXfs>
  <cellStyles count="6">
    <cellStyle name="Comma" xfId="4" builtinId="3"/>
    <cellStyle name="Currency" xfId="5" builtinId="4"/>
    <cellStyle name="Normal" xfId="0" builtinId="0"/>
    <cellStyle name="Normal 2" xfId="1"/>
    <cellStyle name="Normal 3" xfId="2"/>
    <cellStyle name="Percent" xfId="3" builtinId="5"/>
  </cellStyles>
  <dxfs count="0"/>
  <tableStyles count="0" defaultTableStyle="TableStyleMedium2" defaultPivotStyle="PivotStyleLight16"/>
  <colors>
    <mruColors>
      <color rgb="FFF3900D"/>
      <color rgb="FFF4910C"/>
      <color rgb="FFFFD65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3103576338671952"/>
          <c:y val="8.265335118467812E-2"/>
          <c:w val="0.70567087234703452"/>
          <c:h val="0.74524445477648904"/>
        </c:manualLayout>
      </c:layout>
      <c:lineChart>
        <c:grouping val="standard"/>
        <c:varyColors val="0"/>
        <c:ser>
          <c:idx val="0"/>
          <c:order val="0"/>
          <c:tx>
            <c:v>Standard Orchard</c:v>
          </c:tx>
          <c:cat>
            <c:numRef>
              <c:f>'Chestnuts Orchard Model'!$C$4:$C$54</c:f>
              <c:numCache>
                <c:formatCode>General</c:formatCode>
                <c:ptCount val="5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numCache>
            </c:numRef>
          </c:cat>
          <c:val>
            <c:numRef>
              <c:f>'Chestnuts Orchard Model'!$E$4:$E$54</c:f>
              <c:numCache>
                <c:formatCode>#,##0</c:formatCode>
                <c:ptCount val="51"/>
                <c:pt idx="0">
                  <c:v>0</c:v>
                </c:pt>
                <c:pt idx="1">
                  <c:v>0</c:v>
                </c:pt>
                <c:pt idx="2">
                  <c:v>0</c:v>
                </c:pt>
                <c:pt idx="3">
                  <c:v>0</c:v>
                </c:pt>
                <c:pt idx="4">
                  <c:v>0</c:v>
                </c:pt>
                <c:pt idx="5">
                  <c:v>140</c:v>
                </c:pt>
                <c:pt idx="6">
                  <c:v>280</c:v>
                </c:pt>
                <c:pt idx="7">
                  <c:v>700</c:v>
                </c:pt>
                <c:pt idx="8">
                  <c:v>1050</c:v>
                </c:pt>
                <c:pt idx="9">
                  <c:v>1400</c:v>
                </c:pt>
                <c:pt idx="10">
                  <c:v>1750</c:v>
                </c:pt>
                <c:pt idx="11">
                  <c:v>2100</c:v>
                </c:pt>
                <c:pt idx="12">
                  <c:v>2450</c:v>
                </c:pt>
                <c:pt idx="13">
                  <c:v>2800</c:v>
                </c:pt>
                <c:pt idx="14">
                  <c:v>3150</c:v>
                </c:pt>
                <c:pt idx="15">
                  <c:v>3500</c:v>
                </c:pt>
                <c:pt idx="16">
                  <c:v>3500</c:v>
                </c:pt>
                <c:pt idx="17">
                  <c:v>3500</c:v>
                </c:pt>
                <c:pt idx="18">
                  <c:v>3500</c:v>
                </c:pt>
                <c:pt idx="19">
                  <c:v>3500</c:v>
                </c:pt>
                <c:pt idx="20">
                  <c:v>3500</c:v>
                </c:pt>
                <c:pt idx="21">
                  <c:v>3500</c:v>
                </c:pt>
                <c:pt idx="22">
                  <c:v>3500</c:v>
                </c:pt>
                <c:pt idx="23">
                  <c:v>3500</c:v>
                </c:pt>
                <c:pt idx="24">
                  <c:v>3500</c:v>
                </c:pt>
                <c:pt idx="25">
                  <c:v>3500</c:v>
                </c:pt>
                <c:pt idx="26">
                  <c:v>3500</c:v>
                </c:pt>
                <c:pt idx="27">
                  <c:v>3500</c:v>
                </c:pt>
                <c:pt idx="28">
                  <c:v>3500</c:v>
                </c:pt>
                <c:pt idx="29">
                  <c:v>3500</c:v>
                </c:pt>
                <c:pt idx="30">
                  <c:v>3500</c:v>
                </c:pt>
                <c:pt idx="31">
                  <c:v>3500</c:v>
                </c:pt>
                <c:pt idx="32">
                  <c:v>3500</c:v>
                </c:pt>
                <c:pt idx="33">
                  <c:v>3500</c:v>
                </c:pt>
                <c:pt idx="34">
                  <c:v>3500</c:v>
                </c:pt>
                <c:pt idx="35">
                  <c:v>3500</c:v>
                </c:pt>
                <c:pt idx="36">
                  <c:v>3500</c:v>
                </c:pt>
                <c:pt idx="37">
                  <c:v>3500</c:v>
                </c:pt>
                <c:pt idx="38">
                  <c:v>3500</c:v>
                </c:pt>
                <c:pt idx="39">
                  <c:v>3500</c:v>
                </c:pt>
                <c:pt idx="40">
                  <c:v>3500</c:v>
                </c:pt>
                <c:pt idx="41">
                  <c:v>3500</c:v>
                </c:pt>
                <c:pt idx="42">
                  <c:v>3500</c:v>
                </c:pt>
                <c:pt idx="43">
                  <c:v>3500</c:v>
                </c:pt>
                <c:pt idx="44">
                  <c:v>3500</c:v>
                </c:pt>
                <c:pt idx="45">
                  <c:v>3419.5</c:v>
                </c:pt>
                <c:pt idx="46">
                  <c:v>3339</c:v>
                </c:pt>
                <c:pt idx="47">
                  <c:v>3258.5</c:v>
                </c:pt>
                <c:pt idx="48">
                  <c:v>3177.9999999999995</c:v>
                </c:pt>
                <c:pt idx="49">
                  <c:v>3097.4999999999995</c:v>
                </c:pt>
                <c:pt idx="50">
                  <c:v>3016.9999999999995</c:v>
                </c:pt>
              </c:numCache>
            </c:numRef>
          </c:val>
          <c:smooth val="0"/>
        </c:ser>
        <c:ser>
          <c:idx val="1"/>
          <c:order val="1"/>
          <c:tx>
            <c:v>High Density Orchard 1</c:v>
          </c:tx>
          <c:cat>
            <c:numRef>
              <c:f>'Chestnuts Orchard Model'!$C$4:$C$54</c:f>
              <c:numCache>
                <c:formatCode>General</c:formatCode>
                <c:ptCount val="5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numCache>
            </c:numRef>
          </c:cat>
          <c:val>
            <c:numRef>
              <c:f>Sheet4!$B$8:$B$30</c:f>
              <c:numCache>
                <c:formatCode>General</c:formatCode>
                <c:ptCount val="23"/>
                <c:pt idx="0">
                  <c:v>0</c:v>
                </c:pt>
                <c:pt idx="1">
                  <c:v>0</c:v>
                </c:pt>
                <c:pt idx="2">
                  <c:v>0</c:v>
                </c:pt>
                <c:pt idx="3">
                  <c:v>2505</c:v>
                </c:pt>
                <c:pt idx="4">
                  <c:v>4995</c:v>
                </c:pt>
                <c:pt idx="5">
                  <c:v>7500</c:v>
                </c:pt>
                <c:pt idx="6">
                  <c:v>10005</c:v>
                </c:pt>
                <c:pt idx="7">
                  <c:v>12495</c:v>
                </c:pt>
                <c:pt idx="8">
                  <c:v>15000</c:v>
                </c:pt>
                <c:pt idx="9">
                  <c:v>15000</c:v>
                </c:pt>
                <c:pt idx="10">
                  <c:v>15000</c:v>
                </c:pt>
                <c:pt idx="11">
                  <c:v>15000</c:v>
                </c:pt>
                <c:pt idx="12">
                  <c:v>15000</c:v>
                </c:pt>
                <c:pt idx="13">
                  <c:v>15000</c:v>
                </c:pt>
                <c:pt idx="14">
                  <c:v>15000</c:v>
                </c:pt>
                <c:pt idx="15">
                  <c:v>15000</c:v>
                </c:pt>
                <c:pt idx="16">
                  <c:v>15000</c:v>
                </c:pt>
                <c:pt idx="17">
                  <c:v>15000</c:v>
                </c:pt>
                <c:pt idx="18">
                  <c:v>15000</c:v>
                </c:pt>
                <c:pt idx="19">
                  <c:v>15000</c:v>
                </c:pt>
                <c:pt idx="20">
                  <c:v>14250</c:v>
                </c:pt>
                <c:pt idx="21">
                  <c:v>13500</c:v>
                </c:pt>
                <c:pt idx="22">
                  <c:v>12750</c:v>
                </c:pt>
              </c:numCache>
            </c:numRef>
          </c:val>
          <c:smooth val="0"/>
        </c:ser>
        <c:ser>
          <c:idx val="2"/>
          <c:order val="2"/>
          <c:tx>
            <c:v>High Density Orchard 2</c:v>
          </c:tx>
          <c:marker>
            <c:symbol val="square"/>
            <c:size val="9"/>
          </c:marker>
          <c:val>
            <c:numRef>
              <c:f>Sheet4!$C$8:$C$30</c:f>
              <c:numCache>
                <c:formatCode>General</c:formatCode>
                <c:ptCount val="23"/>
                <c:pt idx="0">
                  <c:v>0</c:v>
                </c:pt>
                <c:pt idx="1">
                  <c:v>0</c:v>
                </c:pt>
                <c:pt idx="2">
                  <c:v>0</c:v>
                </c:pt>
                <c:pt idx="3">
                  <c:v>3340</c:v>
                </c:pt>
                <c:pt idx="4">
                  <c:v>6660</c:v>
                </c:pt>
                <c:pt idx="5">
                  <c:v>10000</c:v>
                </c:pt>
                <c:pt idx="6">
                  <c:v>13340</c:v>
                </c:pt>
                <c:pt idx="7">
                  <c:v>16660</c:v>
                </c:pt>
                <c:pt idx="8">
                  <c:v>20000</c:v>
                </c:pt>
                <c:pt idx="9">
                  <c:v>20000</c:v>
                </c:pt>
                <c:pt idx="10">
                  <c:v>20000</c:v>
                </c:pt>
                <c:pt idx="11">
                  <c:v>20000</c:v>
                </c:pt>
                <c:pt idx="12">
                  <c:v>20000</c:v>
                </c:pt>
                <c:pt idx="13">
                  <c:v>20000</c:v>
                </c:pt>
                <c:pt idx="14">
                  <c:v>20000</c:v>
                </c:pt>
                <c:pt idx="15">
                  <c:v>20000</c:v>
                </c:pt>
                <c:pt idx="16">
                  <c:v>20000</c:v>
                </c:pt>
                <c:pt idx="17">
                  <c:v>20000</c:v>
                </c:pt>
                <c:pt idx="18">
                  <c:v>20000</c:v>
                </c:pt>
                <c:pt idx="19">
                  <c:v>20000</c:v>
                </c:pt>
                <c:pt idx="20">
                  <c:v>19000</c:v>
                </c:pt>
                <c:pt idx="21">
                  <c:v>18000</c:v>
                </c:pt>
                <c:pt idx="22">
                  <c:v>17000</c:v>
                </c:pt>
              </c:numCache>
            </c:numRef>
          </c:val>
          <c:smooth val="0"/>
        </c:ser>
        <c:ser>
          <c:idx val="3"/>
          <c:order val="3"/>
          <c:tx>
            <c:v>High Density Orchard 3</c:v>
          </c:tx>
          <c:spPr>
            <a:ln>
              <a:solidFill>
                <a:schemeClr val="tx1"/>
              </a:solidFill>
            </a:ln>
          </c:spPr>
          <c:marker>
            <c:symbol val="square"/>
            <c:size val="9"/>
            <c:spPr>
              <a:solidFill>
                <a:schemeClr val="tx1"/>
              </a:solidFill>
            </c:spPr>
          </c:marker>
          <c:val>
            <c:numRef>
              <c:f>Sheet4!$D$8:$D$30</c:f>
              <c:numCache>
                <c:formatCode>General</c:formatCode>
                <c:ptCount val="23"/>
                <c:pt idx="0">
                  <c:v>0</c:v>
                </c:pt>
                <c:pt idx="1">
                  <c:v>0</c:v>
                </c:pt>
                <c:pt idx="2">
                  <c:v>0</c:v>
                </c:pt>
                <c:pt idx="3">
                  <c:v>4175</c:v>
                </c:pt>
                <c:pt idx="4">
                  <c:v>8325</c:v>
                </c:pt>
                <c:pt idx="5">
                  <c:v>12500</c:v>
                </c:pt>
                <c:pt idx="6">
                  <c:v>16675</c:v>
                </c:pt>
                <c:pt idx="7">
                  <c:v>20825</c:v>
                </c:pt>
                <c:pt idx="8">
                  <c:v>25000</c:v>
                </c:pt>
                <c:pt idx="9">
                  <c:v>25000</c:v>
                </c:pt>
                <c:pt idx="10">
                  <c:v>25000</c:v>
                </c:pt>
                <c:pt idx="11">
                  <c:v>25000</c:v>
                </c:pt>
                <c:pt idx="12">
                  <c:v>25000</c:v>
                </c:pt>
                <c:pt idx="13">
                  <c:v>25000</c:v>
                </c:pt>
                <c:pt idx="14">
                  <c:v>25000</c:v>
                </c:pt>
                <c:pt idx="15">
                  <c:v>25000</c:v>
                </c:pt>
                <c:pt idx="16">
                  <c:v>25000</c:v>
                </c:pt>
                <c:pt idx="17">
                  <c:v>25000</c:v>
                </c:pt>
                <c:pt idx="18">
                  <c:v>25000</c:v>
                </c:pt>
                <c:pt idx="19">
                  <c:v>25000</c:v>
                </c:pt>
                <c:pt idx="20">
                  <c:v>23750</c:v>
                </c:pt>
                <c:pt idx="21">
                  <c:v>22500</c:v>
                </c:pt>
                <c:pt idx="22">
                  <c:v>21250</c:v>
                </c:pt>
              </c:numCache>
            </c:numRef>
          </c:val>
          <c:smooth val="0"/>
        </c:ser>
        <c:dLbls>
          <c:showLegendKey val="0"/>
          <c:showVal val="0"/>
          <c:showCatName val="0"/>
          <c:showSerName val="0"/>
          <c:showPercent val="0"/>
          <c:showBubbleSize val="0"/>
        </c:dLbls>
        <c:marker val="1"/>
        <c:smooth val="0"/>
        <c:axId val="228990376"/>
        <c:axId val="228989592"/>
      </c:lineChart>
      <c:catAx>
        <c:axId val="228990376"/>
        <c:scaling>
          <c:orientation val="minMax"/>
        </c:scaling>
        <c:delete val="0"/>
        <c:axPos val="b"/>
        <c:numFmt formatCode="General" sourceLinked="1"/>
        <c:majorTickMark val="none"/>
        <c:minorTickMark val="none"/>
        <c:tickLblPos val="nextTo"/>
        <c:txPr>
          <a:bodyPr/>
          <a:lstStyle/>
          <a:p>
            <a:pPr>
              <a:defRPr sz="1200">
                <a:latin typeface="+mj-lt"/>
              </a:defRPr>
            </a:pPr>
            <a:endParaRPr lang="en-US"/>
          </a:p>
        </c:txPr>
        <c:crossAx val="228989592"/>
        <c:crosses val="autoZero"/>
        <c:auto val="1"/>
        <c:lblAlgn val="ctr"/>
        <c:lblOffset val="150"/>
        <c:noMultiLvlLbl val="0"/>
      </c:catAx>
      <c:valAx>
        <c:axId val="228989592"/>
        <c:scaling>
          <c:orientation val="minMax"/>
          <c:max val="30000"/>
        </c:scaling>
        <c:delete val="0"/>
        <c:axPos val="l"/>
        <c:majorGridlines/>
        <c:title>
          <c:tx>
            <c:rich>
              <a:bodyPr/>
              <a:lstStyle/>
              <a:p>
                <a:pPr>
                  <a:defRPr sz="1400"/>
                </a:pPr>
                <a:r>
                  <a:rPr lang="en-US" sz="1400">
                    <a:latin typeface="+mj-lt"/>
                  </a:rPr>
                  <a:t>Yield</a:t>
                </a:r>
                <a:r>
                  <a:rPr lang="en-US" sz="1400" baseline="0">
                    <a:latin typeface="+mj-lt"/>
                  </a:rPr>
                  <a:t> Per Acre (lbs./acre)</a:t>
                </a:r>
                <a:endParaRPr lang="en-US" sz="1400">
                  <a:latin typeface="+mj-lt"/>
                </a:endParaRPr>
              </a:p>
            </c:rich>
          </c:tx>
          <c:layout>
            <c:manualLayout>
              <c:xMode val="edge"/>
              <c:yMode val="edge"/>
              <c:x val="9.9997886264512857E-3"/>
              <c:y val="0.1441954963296096"/>
            </c:manualLayout>
          </c:layout>
          <c:overlay val="0"/>
        </c:title>
        <c:numFmt formatCode="#,##0" sourceLinked="1"/>
        <c:majorTickMark val="none"/>
        <c:minorTickMark val="none"/>
        <c:tickLblPos val="nextTo"/>
        <c:txPr>
          <a:bodyPr/>
          <a:lstStyle/>
          <a:p>
            <a:pPr>
              <a:defRPr sz="1200">
                <a:latin typeface="+mj-lt"/>
              </a:defRPr>
            </a:pPr>
            <a:endParaRPr lang="en-US"/>
          </a:p>
        </c:txPr>
        <c:crossAx val="228990376"/>
        <c:crosses val="autoZero"/>
        <c:crossBetween val="midCat"/>
        <c:majorUnit val="5000"/>
      </c:valAx>
    </c:plotArea>
    <c:legend>
      <c:legendPos val="r"/>
      <c:layout>
        <c:manualLayout>
          <c:xMode val="edge"/>
          <c:yMode val="edge"/>
          <c:x val="0.84958651597121793"/>
          <c:y val="0.317420675296126"/>
          <c:w val="0.13952913028728553"/>
          <c:h val="0.51813501476646173"/>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80465336051129"/>
          <c:y val="0.16163652270738885"/>
          <c:w val="0.69700015359945622"/>
          <c:h val="0.69246438134627109"/>
        </c:manualLayout>
      </c:layout>
      <c:lineChart>
        <c:grouping val="standard"/>
        <c:varyColors val="0"/>
        <c:ser>
          <c:idx val="0"/>
          <c:order val="0"/>
          <c:tx>
            <c:v>Price: $2.00, Prem: $100</c:v>
          </c:tx>
          <c:spPr>
            <a:ln>
              <a:solidFill>
                <a:schemeClr val="accent1"/>
              </a:solidFill>
            </a:ln>
          </c:spPr>
          <c:marker>
            <c:symbol val="square"/>
            <c:size val="5"/>
            <c:spPr>
              <a:ln w="28575"/>
            </c:spPr>
          </c:marker>
          <c:cat>
            <c:numRef>
              <c:f>Sheet1!$C$4:$H$4</c:f>
              <c:numCache>
                <c:formatCode>0%</c:formatCode>
                <c:ptCount val="6"/>
                <c:pt idx="0">
                  <c:v>0.06</c:v>
                </c:pt>
                <c:pt idx="1">
                  <c:v>7.0000000000000007E-2</c:v>
                </c:pt>
                <c:pt idx="2">
                  <c:v>0.08</c:v>
                </c:pt>
                <c:pt idx="3">
                  <c:v>0.09</c:v>
                </c:pt>
                <c:pt idx="4">
                  <c:v>0.1</c:v>
                </c:pt>
                <c:pt idx="5">
                  <c:v>0.11</c:v>
                </c:pt>
              </c:numCache>
            </c:numRef>
          </c:cat>
          <c:val>
            <c:numRef>
              <c:f>Sheet1!$C$5:$H$5</c:f>
              <c:numCache>
                <c:formatCode>#,##0</c:formatCode>
                <c:ptCount val="6"/>
                <c:pt idx="0">
                  <c:v>3062</c:v>
                </c:pt>
                <c:pt idx="1">
                  <c:v>3096</c:v>
                </c:pt>
                <c:pt idx="2">
                  <c:v>3125</c:v>
                </c:pt>
                <c:pt idx="3">
                  <c:v>3146</c:v>
                </c:pt>
                <c:pt idx="4">
                  <c:v>3157</c:v>
                </c:pt>
                <c:pt idx="5">
                  <c:v>3156</c:v>
                </c:pt>
              </c:numCache>
            </c:numRef>
          </c:val>
          <c:smooth val="0"/>
        </c:ser>
        <c:ser>
          <c:idx val="1"/>
          <c:order val="1"/>
          <c:tx>
            <c:v>Price: $2.00, Prem: $50</c:v>
          </c:tx>
          <c:spPr>
            <a:ln>
              <a:solidFill>
                <a:schemeClr val="accent1"/>
              </a:solidFill>
              <a:prstDash val="sysDash"/>
            </a:ln>
          </c:spPr>
          <c:marker>
            <c:spPr>
              <a:solidFill>
                <a:schemeClr val="accent1"/>
              </a:solidFill>
              <a:ln w="15875">
                <a:solidFill>
                  <a:schemeClr val="accent1"/>
                </a:solidFill>
              </a:ln>
            </c:spPr>
          </c:marker>
          <c:cat>
            <c:numRef>
              <c:f>Sheet1!$C$4:$H$4</c:f>
              <c:numCache>
                <c:formatCode>0%</c:formatCode>
                <c:ptCount val="6"/>
                <c:pt idx="0">
                  <c:v>0.06</c:v>
                </c:pt>
                <c:pt idx="1">
                  <c:v>7.0000000000000007E-2</c:v>
                </c:pt>
                <c:pt idx="2">
                  <c:v>0.08</c:v>
                </c:pt>
                <c:pt idx="3">
                  <c:v>0.09</c:v>
                </c:pt>
                <c:pt idx="4">
                  <c:v>0.1</c:v>
                </c:pt>
                <c:pt idx="5">
                  <c:v>0.11</c:v>
                </c:pt>
              </c:numCache>
            </c:numRef>
          </c:cat>
          <c:val>
            <c:numRef>
              <c:f>Sheet1!$C$6:$H$6</c:f>
              <c:numCache>
                <c:formatCode>#,##0</c:formatCode>
                <c:ptCount val="6"/>
                <c:pt idx="0">
                  <c:v>3003</c:v>
                </c:pt>
                <c:pt idx="1">
                  <c:v>3033</c:v>
                </c:pt>
                <c:pt idx="2">
                  <c:v>3056</c:v>
                </c:pt>
                <c:pt idx="3">
                  <c:v>3072</c:v>
                </c:pt>
                <c:pt idx="4">
                  <c:v>3077</c:v>
                </c:pt>
                <c:pt idx="5">
                  <c:v>3069</c:v>
                </c:pt>
              </c:numCache>
            </c:numRef>
          </c:val>
          <c:smooth val="0"/>
        </c:ser>
        <c:ser>
          <c:idx val="2"/>
          <c:order val="2"/>
          <c:tx>
            <c:v>Price: $2.25, Prem: $100</c:v>
          </c:tx>
          <c:spPr>
            <a:ln>
              <a:solidFill>
                <a:schemeClr val="tx1"/>
              </a:solidFill>
            </a:ln>
          </c:spPr>
          <c:marker>
            <c:symbol val="triangle"/>
            <c:size val="5"/>
            <c:spPr>
              <a:solidFill>
                <a:schemeClr val="tx1"/>
              </a:solidFill>
              <a:ln w="28575">
                <a:solidFill>
                  <a:schemeClr val="tx1"/>
                </a:solidFill>
              </a:ln>
            </c:spPr>
          </c:marker>
          <c:cat>
            <c:numRef>
              <c:f>Sheet1!$C$4:$H$4</c:f>
              <c:numCache>
                <c:formatCode>0%</c:formatCode>
                <c:ptCount val="6"/>
                <c:pt idx="0">
                  <c:v>0.06</c:v>
                </c:pt>
                <c:pt idx="1">
                  <c:v>7.0000000000000007E-2</c:v>
                </c:pt>
                <c:pt idx="2">
                  <c:v>0.08</c:v>
                </c:pt>
                <c:pt idx="3">
                  <c:v>0.09</c:v>
                </c:pt>
                <c:pt idx="4">
                  <c:v>0.1</c:v>
                </c:pt>
                <c:pt idx="5">
                  <c:v>0.11</c:v>
                </c:pt>
              </c:numCache>
            </c:numRef>
          </c:cat>
          <c:val>
            <c:numRef>
              <c:f>Sheet1!$C$7:$H$7</c:f>
              <c:numCache>
                <c:formatCode>#,##0</c:formatCode>
                <c:ptCount val="6"/>
                <c:pt idx="0">
                  <c:v>2722</c:v>
                </c:pt>
                <c:pt idx="1">
                  <c:v>2752</c:v>
                </c:pt>
                <c:pt idx="2">
                  <c:v>2778</c:v>
                </c:pt>
                <c:pt idx="3">
                  <c:v>2796</c:v>
                </c:pt>
                <c:pt idx="4">
                  <c:v>2806</c:v>
                </c:pt>
                <c:pt idx="5">
                  <c:v>2805</c:v>
                </c:pt>
              </c:numCache>
            </c:numRef>
          </c:val>
          <c:smooth val="0"/>
        </c:ser>
        <c:ser>
          <c:idx val="3"/>
          <c:order val="3"/>
          <c:tx>
            <c:v>Price: $2.25, Prem: $50</c:v>
          </c:tx>
          <c:spPr>
            <a:ln>
              <a:solidFill>
                <a:schemeClr val="tx1"/>
              </a:solidFill>
              <a:prstDash val="sysDash"/>
            </a:ln>
          </c:spPr>
          <c:marker>
            <c:symbol val="triangle"/>
            <c:size val="5"/>
            <c:spPr>
              <a:ln w="28575">
                <a:solidFill>
                  <a:schemeClr val="tx1"/>
                </a:solidFill>
              </a:ln>
            </c:spPr>
          </c:marker>
          <c:cat>
            <c:numRef>
              <c:f>Sheet1!$C$4:$H$4</c:f>
              <c:numCache>
                <c:formatCode>0%</c:formatCode>
                <c:ptCount val="6"/>
                <c:pt idx="0">
                  <c:v>0.06</c:v>
                </c:pt>
                <c:pt idx="1">
                  <c:v>7.0000000000000007E-2</c:v>
                </c:pt>
                <c:pt idx="2">
                  <c:v>0.08</c:v>
                </c:pt>
                <c:pt idx="3">
                  <c:v>0.09</c:v>
                </c:pt>
                <c:pt idx="4">
                  <c:v>0.1</c:v>
                </c:pt>
                <c:pt idx="5">
                  <c:v>0.11</c:v>
                </c:pt>
              </c:numCache>
            </c:numRef>
          </c:cat>
          <c:val>
            <c:numRef>
              <c:f>Sheet1!$C$8:$H$8</c:f>
              <c:numCache>
                <c:formatCode>#,##0</c:formatCode>
                <c:ptCount val="6"/>
                <c:pt idx="0">
                  <c:v>2669</c:v>
                </c:pt>
                <c:pt idx="1">
                  <c:v>2696</c:v>
                </c:pt>
                <c:pt idx="2">
                  <c:v>2717</c:v>
                </c:pt>
                <c:pt idx="3">
                  <c:v>2730</c:v>
                </c:pt>
                <c:pt idx="4">
                  <c:v>2735</c:v>
                </c:pt>
                <c:pt idx="5">
                  <c:v>2728</c:v>
                </c:pt>
              </c:numCache>
            </c:numRef>
          </c:val>
          <c:smooth val="0"/>
        </c:ser>
        <c:ser>
          <c:idx val="4"/>
          <c:order val="4"/>
          <c:tx>
            <c:v>Price: $2.50, Prem: $100</c:v>
          </c:tx>
          <c:spPr>
            <a:ln>
              <a:solidFill>
                <a:schemeClr val="accent6">
                  <a:shade val="76000"/>
                  <a:shade val="95000"/>
                  <a:satMod val="105000"/>
                </a:schemeClr>
              </a:solidFill>
            </a:ln>
          </c:spPr>
          <c:marker>
            <c:symbol val="diamond"/>
            <c:size val="5"/>
            <c:spPr>
              <a:solidFill>
                <a:schemeClr val="accent6"/>
              </a:solidFill>
              <a:ln w="28575">
                <a:solidFill>
                  <a:schemeClr val="accent6"/>
                </a:solidFill>
              </a:ln>
            </c:spPr>
          </c:marker>
          <c:cat>
            <c:numRef>
              <c:f>Sheet1!$C$4:$H$4</c:f>
              <c:numCache>
                <c:formatCode>0%</c:formatCode>
                <c:ptCount val="6"/>
                <c:pt idx="0">
                  <c:v>0.06</c:v>
                </c:pt>
                <c:pt idx="1">
                  <c:v>7.0000000000000007E-2</c:v>
                </c:pt>
                <c:pt idx="2">
                  <c:v>0.08</c:v>
                </c:pt>
                <c:pt idx="3">
                  <c:v>0.09</c:v>
                </c:pt>
                <c:pt idx="4">
                  <c:v>0.1</c:v>
                </c:pt>
                <c:pt idx="5">
                  <c:v>0.11</c:v>
                </c:pt>
              </c:numCache>
            </c:numRef>
          </c:cat>
          <c:val>
            <c:numRef>
              <c:f>Sheet1!$C$9:$H$9</c:f>
              <c:numCache>
                <c:formatCode>#,##0</c:formatCode>
                <c:ptCount val="6"/>
                <c:pt idx="0">
                  <c:v>2449</c:v>
                </c:pt>
                <c:pt idx="1">
                  <c:v>2477</c:v>
                </c:pt>
                <c:pt idx="2">
                  <c:v>2500</c:v>
                </c:pt>
                <c:pt idx="3">
                  <c:v>2517</c:v>
                </c:pt>
                <c:pt idx="4">
                  <c:v>2525</c:v>
                </c:pt>
                <c:pt idx="5">
                  <c:v>2525</c:v>
                </c:pt>
              </c:numCache>
            </c:numRef>
          </c:val>
          <c:smooth val="0"/>
        </c:ser>
        <c:ser>
          <c:idx val="5"/>
          <c:order val="5"/>
          <c:tx>
            <c:v>Price: $2.50, Prem: $50</c:v>
          </c:tx>
          <c:spPr>
            <a:ln>
              <a:prstDash val="sysDash"/>
            </a:ln>
          </c:spPr>
          <c:marker>
            <c:symbol val="diamond"/>
            <c:size val="5"/>
            <c:spPr>
              <a:solidFill>
                <a:schemeClr val="accent6"/>
              </a:solidFill>
              <a:ln w="28575">
                <a:solidFill>
                  <a:schemeClr val="accent6">
                    <a:shade val="76000"/>
                    <a:shade val="95000"/>
                    <a:satMod val="105000"/>
                  </a:schemeClr>
                </a:solidFill>
              </a:ln>
            </c:spPr>
          </c:marker>
          <c:cat>
            <c:numRef>
              <c:f>Sheet1!$C$4:$H$4</c:f>
              <c:numCache>
                <c:formatCode>0%</c:formatCode>
                <c:ptCount val="6"/>
                <c:pt idx="0">
                  <c:v>0.06</c:v>
                </c:pt>
                <c:pt idx="1">
                  <c:v>7.0000000000000007E-2</c:v>
                </c:pt>
                <c:pt idx="2">
                  <c:v>0.08</c:v>
                </c:pt>
                <c:pt idx="3">
                  <c:v>0.09</c:v>
                </c:pt>
                <c:pt idx="4">
                  <c:v>0.1</c:v>
                </c:pt>
                <c:pt idx="5">
                  <c:v>0.11</c:v>
                </c:pt>
              </c:numCache>
            </c:numRef>
          </c:cat>
          <c:val>
            <c:numRef>
              <c:f>Sheet1!$C$10:$H$10</c:f>
              <c:numCache>
                <c:formatCode>#,##0</c:formatCode>
                <c:ptCount val="6"/>
                <c:pt idx="0">
                  <c:v>2402</c:v>
                </c:pt>
                <c:pt idx="1">
                  <c:v>2426</c:v>
                </c:pt>
                <c:pt idx="2">
                  <c:v>2445</c:v>
                </c:pt>
                <c:pt idx="3">
                  <c:v>2457</c:v>
                </c:pt>
                <c:pt idx="4">
                  <c:v>2461</c:v>
                </c:pt>
                <c:pt idx="5">
                  <c:v>2455</c:v>
                </c:pt>
              </c:numCache>
            </c:numRef>
          </c:val>
          <c:smooth val="0"/>
        </c:ser>
        <c:ser>
          <c:idx val="6"/>
          <c:order val="6"/>
          <c:tx>
            <c:v>Price: $2.75, Prem: $100</c:v>
          </c:tx>
          <c:spPr>
            <a:ln>
              <a:solidFill>
                <a:srgbClr val="00B050"/>
              </a:solidFill>
            </a:ln>
          </c:spPr>
          <c:marker>
            <c:symbol val="circle"/>
            <c:size val="5"/>
            <c:spPr>
              <a:solidFill>
                <a:srgbClr val="00B050"/>
              </a:solidFill>
              <a:ln w="28575">
                <a:solidFill>
                  <a:srgbClr val="00B050"/>
                </a:solidFill>
              </a:ln>
            </c:spPr>
          </c:marker>
          <c:cat>
            <c:numRef>
              <c:f>Sheet1!$C$4:$H$4</c:f>
              <c:numCache>
                <c:formatCode>0%</c:formatCode>
                <c:ptCount val="6"/>
                <c:pt idx="0">
                  <c:v>0.06</c:v>
                </c:pt>
                <c:pt idx="1">
                  <c:v>7.0000000000000007E-2</c:v>
                </c:pt>
                <c:pt idx="2">
                  <c:v>0.08</c:v>
                </c:pt>
                <c:pt idx="3">
                  <c:v>0.09</c:v>
                </c:pt>
                <c:pt idx="4">
                  <c:v>0.1</c:v>
                </c:pt>
                <c:pt idx="5">
                  <c:v>0.11</c:v>
                </c:pt>
              </c:numCache>
            </c:numRef>
          </c:cat>
          <c:val>
            <c:numRef>
              <c:f>Sheet1!$C$11:$H$11</c:f>
              <c:numCache>
                <c:formatCode>#,##0</c:formatCode>
                <c:ptCount val="6"/>
                <c:pt idx="0">
                  <c:v>2227</c:v>
                </c:pt>
                <c:pt idx="1">
                  <c:v>2252</c:v>
                </c:pt>
                <c:pt idx="2">
                  <c:v>2273</c:v>
                </c:pt>
                <c:pt idx="3">
                  <c:v>2288</c:v>
                </c:pt>
                <c:pt idx="4">
                  <c:v>2296</c:v>
                </c:pt>
                <c:pt idx="5">
                  <c:v>2295</c:v>
                </c:pt>
              </c:numCache>
            </c:numRef>
          </c:val>
          <c:smooth val="0"/>
        </c:ser>
        <c:ser>
          <c:idx val="7"/>
          <c:order val="7"/>
          <c:tx>
            <c:v>Price: $2.75, Prem: $50</c:v>
          </c:tx>
          <c:spPr>
            <a:ln>
              <a:solidFill>
                <a:srgbClr val="00B050"/>
              </a:solidFill>
              <a:prstDash val="sysDash"/>
            </a:ln>
          </c:spPr>
          <c:marker>
            <c:symbol val="circle"/>
            <c:size val="5"/>
            <c:spPr>
              <a:solidFill>
                <a:srgbClr val="00B050"/>
              </a:solidFill>
              <a:ln w="28575">
                <a:solidFill>
                  <a:srgbClr val="00B050"/>
                </a:solidFill>
              </a:ln>
            </c:spPr>
          </c:marker>
          <c:cat>
            <c:numRef>
              <c:f>Sheet1!$C$4:$H$4</c:f>
              <c:numCache>
                <c:formatCode>0%</c:formatCode>
                <c:ptCount val="6"/>
                <c:pt idx="0">
                  <c:v>0.06</c:v>
                </c:pt>
                <c:pt idx="1">
                  <c:v>7.0000000000000007E-2</c:v>
                </c:pt>
                <c:pt idx="2">
                  <c:v>0.08</c:v>
                </c:pt>
                <c:pt idx="3">
                  <c:v>0.09</c:v>
                </c:pt>
                <c:pt idx="4">
                  <c:v>0.1</c:v>
                </c:pt>
                <c:pt idx="5">
                  <c:v>0.11</c:v>
                </c:pt>
              </c:numCache>
            </c:numRef>
          </c:cat>
          <c:val>
            <c:numRef>
              <c:f>Sheet1!$C$12:$H$12</c:f>
              <c:numCache>
                <c:formatCode>#,##0</c:formatCode>
                <c:ptCount val="6"/>
                <c:pt idx="0">
                  <c:v>2184</c:v>
                </c:pt>
                <c:pt idx="1">
                  <c:v>2206</c:v>
                </c:pt>
                <c:pt idx="2">
                  <c:v>2223</c:v>
                </c:pt>
                <c:pt idx="3">
                  <c:v>2234</c:v>
                </c:pt>
                <c:pt idx="4">
                  <c:v>2238</c:v>
                </c:pt>
                <c:pt idx="5">
                  <c:v>2231</c:v>
                </c:pt>
              </c:numCache>
            </c:numRef>
          </c:val>
          <c:smooth val="0"/>
        </c:ser>
        <c:dLbls>
          <c:showLegendKey val="0"/>
          <c:showVal val="0"/>
          <c:showCatName val="0"/>
          <c:showSerName val="0"/>
          <c:showPercent val="0"/>
          <c:showBubbleSize val="0"/>
        </c:dLbls>
        <c:marker val="1"/>
        <c:smooth val="0"/>
        <c:axId val="228987240"/>
        <c:axId val="228994296"/>
      </c:lineChart>
      <c:catAx>
        <c:axId val="228987240"/>
        <c:scaling>
          <c:orientation val="minMax"/>
        </c:scaling>
        <c:delete val="0"/>
        <c:axPos val="b"/>
        <c:numFmt formatCode="0%" sourceLinked="1"/>
        <c:majorTickMark val="none"/>
        <c:minorTickMark val="none"/>
        <c:tickLblPos val="nextTo"/>
        <c:txPr>
          <a:bodyPr/>
          <a:lstStyle/>
          <a:p>
            <a:pPr>
              <a:defRPr sz="1200">
                <a:latin typeface="+mj-lt"/>
              </a:defRPr>
            </a:pPr>
            <a:endParaRPr lang="en-US"/>
          </a:p>
        </c:txPr>
        <c:crossAx val="228994296"/>
        <c:crosses val="autoZero"/>
        <c:auto val="1"/>
        <c:lblAlgn val="ctr"/>
        <c:lblOffset val="100"/>
        <c:noMultiLvlLbl val="0"/>
      </c:catAx>
      <c:valAx>
        <c:axId val="228994296"/>
        <c:scaling>
          <c:orientation val="minMax"/>
          <c:max val="3200"/>
          <c:min val="2100"/>
        </c:scaling>
        <c:delete val="0"/>
        <c:axPos val="l"/>
        <c:majorGridlines/>
        <c:numFmt formatCode="#,##0" sourceLinked="1"/>
        <c:majorTickMark val="none"/>
        <c:minorTickMark val="none"/>
        <c:tickLblPos val="nextTo"/>
        <c:txPr>
          <a:bodyPr/>
          <a:lstStyle/>
          <a:p>
            <a:pPr>
              <a:defRPr sz="1200">
                <a:latin typeface="+mj-lt"/>
              </a:defRPr>
            </a:pPr>
            <a:endParaRPr lang="en-US"/>
          </a:p>
        </c:txPr>
        <c:crossAx val="228987240"/>
        <c:crosses val="autoZero"/>
        <c:crossBetween val="between"/>
        <c:majorUnit val="100"/>
      </c:valAx>
    </c:plotArea>
    <c:legend>
      <c:legendPos val="r"/>
      <c:layout>
        <c:manualLayout>
          <c:xMode val="edge"/>
          <c:yMode val="edge"/>
          <c:x val="0.83729038031661096"/>
          <c:y val="0.17318062514912907"/>
          <c:w val="0.15576948413642774"/>
          <c:h val="0.67518735915586314"/>
        </c:manualLayout>
      </c:layout>
      <c:overlay val="0"/>
      <c:txPr>
        <a:bodyPr/>
        <a:lstStyle/>
        <a:p>
          <a:pPr>
            <a:defRPr sz="1050">
              <a:latin typeface="+mj-lt"/>
            </a:defRPr>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880465336051129"/>
          <c:y val="0.16163652270738885"/>
          <c:w val="0.69700015359945622"/>
          <c:h val="0.69246438134627109"/>
        </c:manualLayout>
      </c:layout>
      <c:lineChart>
        <c:grouping val="standard"/>
        <c:varyColors val="0"/>
        <c:ser>
          <c:idx val="0"/>
          <c:order val="0"/>
          <c:tx>
            <c:strRef>
              <c:f>Sheet1!$B$46</c:f>
              <c:strCache>
                <c:ptCount val="1"/>
                <c:pt idx="0">
                  <c:v>$2.00</c:v>
                </c:pt>
              </c:strCache>
            </c:strRef>
          </c:tx>
          <c:spPr>
            <a:ln>
              <a:solidFill>
                <a:schemeClr val="accent1"/>
              </a:solidFill>
            </a:ln>
          </c:spPr>
          <c:marker>
            <c:symbol val="square"/>
            <c:size val="5"/>
            <c:spPr>
              <a:ln w="28575"/>
            </c:spPr>
          </c:marker>
          <c:cat>
            <c:numRef>
              <c:f>Sheet1!$C$45:$H$45</c:f>
              <c:numCache>
                <c:formatCode>0%</c:formatCode>
                <c:ptCount val="6"/>
                <c:pt idx="0">
                  <c:v>0.06</c:v>
                </c:pt>
                <c:pt idx="1">
                  <c:v>0.08</c:v>
                </c:pt>
                <c:pt idx="2">
                  <c:v>0.1</c:v>
                </c:pt>
                <c:pt idx="3">
                  <c:v>0.12</c:v>
                </c:pt>
                <c:pt idx="4">
                  <c:v>0.14000000000000001</c:v>
                </c:pt>
                <c:pt idx="5">
                  <c:v>0.16</c:v>
                </c:pt>
              </c:numCache>
            </c:numRef>
          </c:cat>
          <c:val>
            <c:numRef>
              <c:f>Sheet1!$C$46:$H$46</c:f>
              <c:numCache>
                <c:formatCode>#,##0</c:formatCode>
                <c:ptCount val="6"/>
                <c:pt idx="0">
                  <c:v>2688</c:v>
                </c:pt>
                <c:pt idx="1">
                  <c:v>3027</c:v>
                </c:pt>
                <c:pt idx="2">
                  <c:v>3439</c:v>
                </c:pt>
                <c:pt idx="3">
                  <c:v>3933</c:v>
                </c:pt>
                <c:pt idx="4">
                  <c:v>4522</c:v>
                </c:pt>
                <c:pt idx="5">
                  <c:v>5218</c:v>
                </c:pt>
              </c:numCache>
            </c:numRef>
          </c:val>
          <c:smooth val="0"/>
        </c:ser>
        <c:ser>
          <c:idx val="2"/>
          <c:order val="1"/>
          <c:tx>
            <c:strRef>
              <c:f>Sheet1!$B$47</c:f>
              <c:strCache>
                <c:ptCount val="1"/>
                <c:pt idx="0">
                  <c:v>$2.25</c:v>
                </c:pt>
              </c:strCache>
            </c:strRef>
          </c:tx>
          <c:spPr>
            <a:ln>
              <a:solidFill>
                <a:schemeClr val="tx1"/>
              </a:solidFill>
            </a:ln>
          </c:spPr>
          <c:marker>
            <c:symbol val="triangle"/>
            <c:size val="5"/>
            <c:spPr>
              <a:solidFill>
                <a:schemeClr val="tx1"/>
              </a:solidFill>
              <a:ln w="28575">
                <a:solidFill>
                  <a:schemeClr val="tx1"/>
                </a:solidFill>
              </a:ln>
            </c:spPr>
          </c:marker>
          <c:cat>
            <c:numRef>
              <c:f>Sheet1!$C$45:$H$45</c:f>
              <c:numCache>
                <c:formatCode>0%</c:formatCode>
                <c:ptCount val="6"/>
                <c:pt idx="0">
                  <c:v>0.06</c:v>
                </c:pt>
                <c:pt idx="1">
                  <c:v>0.08</c:v>
                </c:pt>
                <c:pt idx="2">
                  <c:v>0.1</c:v>
                </c:pt>
                <c:pt idx="3">
                  <c:v>0.12</c:v>
                </c:pt>
                <c:pt idx="4">
                  <c:v>0.14000000000000001</c:v>
                </c:pt>
                <c:pt idx="5">
                  <c:v>0.16</c:v>
                </c:pt>
              </c:numCache>
            </c:numRef>
          </c:cat>
          <c:val>
            <c:numRef>
              <c:f>Sheet1!$C$47:$H$47</c:f>
              <c:numCache>
                <c:formatCode>#,##0</c:formatCode>
                <c:ptCount val="6"/>
                <c:pt idx="0">
                  <c:v>2389</c:v>
                </c:pt>
                <c:pt idx="1">
                  <c:v>2691</c:v>
                </c:pt>
                <c:pt idx="2">
                  <c:v>3057</c:v>
                </c:pt>
                <c:pt idx="3">
                  <c:v>3496</c:v>
                </c:pt>
                <c:pt idx="4">
                  <c:v>4019</c:v>
                </c:pt>
                <c:pt idx="5">
                  <c:v>4638</c:v>
                </c:pt>
              </c:numCache>
            </c:numRef>
          </c:val>
          <c:smooth val="0"/>
        </c:ser>
        <c:ser>
          <c:idx val="4"/>
          <c:order val="2"/>
          <c:tx>
            <c:strRef>
              <c:f>Sheet1!$B$48</c:f>
              <c:strCache>
                <c:ptCount val="1"/>
                <c:pt idx="0">
                  <c:v>$2.50</c:v>
                </c:pt>
              </c:strCache>
            </c:strRef>
          </c:tx>
          <c:spPr>
            <a:ln>
              <a:solidFill>
                <a:schemeClr val="accent6">
                  <a:shade val="76000"/>
                  <a:shade val="95000"/>
                  <a:satMod val="105000"/>
                </a:schemeClr>
              </a:solidFill>
            </a:ln>
          </c:spPr>
          <c:marker>
            <c:symbol val="diamond"/>
            <c:size val="5"/>
            <c:spPr>
              <a:solidFill>
                <a:schemeClr val="accent6"/>
              </a:solidFill>
              <a:ln w="28575">
                <a:solidFill>
                  <a:schemeClr val="accent6"/>
                </a:solidFill>
              </a:ln>
            </c:spPr>
          </c:marker>
          <c:cat>
            <c:numRef>
              <c:f>Sheet1!$C$45:$H$45</c:f>
              <c:numCache>
                <c:formatCode>0%</c:formatCode>
                <c:ptCount val="6"/>
                <c:pt idx="0">
                  <c:v>0.06</c:v>
                </c:pt>
                <c:pt idx="1">
                  <c:v>0.08</c:v>
                </c:pt>
                <c:pt idx="2">
                  <c:v>0.1</c:v>
                </c:pt>
                <c:pt idx="3">
                  <c:v>0.12</c:v>
                </c:pt>
                <c:pt idx="4">
                  <c:v>0.14000000000000001</c:v>
                </c:pt>
                <c:pt idx="5">
                  <c:v>0.16</c:v>
                </c:pt>
              </c:numCache>
            </c:numRef>
          </c:cat>
          <c:val>
            <c:numRef>
              <c:f>Sheet1!$C$48:$H$48</c:f>
              <c:numCache>
                <c:formatCode>#,##0</c:formatCode>
                <c:ptCount val="6"/>
                <c:pt idx="0">
                  <c:v>2150</c:v>
                </c:pt>
                <c:pt idx="1">
                  <c:v>2422</c:v>
                </c:pt>
                <c:pt idx="2">
                  <c:v>2751</c:v>
                </c:pt>
                <c:pt idx="3">
                  <c:v>3146</c:v>
                </c:pt>
                <c:pt idx="4">
                  <c:v>3617</c:v>
                </c:pt>
                <c:pt idx="5">
                  <c:v>4174</c:v>
                </c:pt>
              </c:numCache>
            </c:numRef>
          </c:val>
          <c:smooth val="0"/>
        </c:ser>
        <c:ser>
          <c:idx val="6"/>
          <c:order val="3"/>
          <c:tx>
            <c:strRef>
              <c:f>Sheet1!$B$49</c:f>
              <c:strCache>
                <c:ptCount val="1"/>
                <c:pt idx="0">
                  <c:v>$2.75</c:v>
                </c:pt>
              </c:strCache>
            </c:strRef>
          </c:tx>
          <c:spPr>
            <a:ln>
              <a:solidFill>
                <a:srgbClr val="00B050"/>
              </a:solidFill>
            </a:ln>
          </c:spPr>
          <c:marker>
            <c:symbol val="circle"/>
            <c:size val="5"/>
            <c:spPr>
              <a:solidFill>
                <a:srgbClr val="00B050"/>
              </a:solidFill>
              <a:ln w="28575">
                <a:solidFill>
                  <a:srgbClr val="00B050"/>
                </a:solidFill>
              </a:ln>
            </c:spPr>
          </c:marker>
          <c:cat>
            <c:numRef>
              <c:f>Sheet1!$C$45:$H$45</c:f>
              <c:numCache>
                <c:formatCode>0%</c:formatCode>
                <c:ptCount val="6"/>
                <c:pt idx="0">
                  <c:v>0.06</c:v>
                </c:pt>
                <c:pt idx="1">
                  <c:v>0.08</c:v>
                </c:pt>
                <c:pt idx="2">
                  <c:v>0.1</c:v>
                </c:pt>
                <c:pt idx="3">
                  <c:v>0.12</c:v>
                </c:pt>
                <c:pt idx="4">
                  <c:v>0.14000000000000001</c:v>
                </c:pt>
                <c:pt idx="5">
                  <c:v>0.16</c:v>
                </c:pt>
              </c:numCache>
            </c:numRef>
          </c:cat>
          <c:val>
            <c:numRef>
              <c:f>Sheet1!$C$49:$H$49</c:f>
              <c:numCache>
                <c:formatCode>#,##0</c:formatCode>
                <c:ptCount val="6"/>
                <c:pt idx="0">
                  <c:v>1955</c:v>
                </c:pt>
                <c:pt idx="1">
                  <c:v>2202</c:v>
                </c:pt>
                <c:pt idx="2">
                  <c:v>2501</c:v>
                </c:pt>
                <c:pt idx="3">
                  <c:v>2860</c:v>
                </c:pt>
                <c:pt idx="4">
                  <c:v>3289</c:v>
                </c:pt>
                <c:pt idx="5">
                  <c:v>3795</c:v>
                </c:pt>
              </c:numCache>
            </c:numRef>
          </c:val>
          <c:smooth val="0"/>
        </c:ser>
        <c:dLbls>
          <c:showLegendKey val="0"/>
          <c:showVal val="0"/>
          <c:showCatName val="0"/>
          <c:showSerName val="0"/>
          <c:showPercent val="0"/>
          <c:showBubbleSize val="0"/>
        </c:dLbls>
        <c:marker val="1"/>
        <c:smooth val="0"/>
        <c:axId val="286843248"/>
        <c:axId val="286843640"/>
      </c:lineChart>
      <c:catAx>
        <c:axId val="286843248"/>
        <c:scaling>
          <c:orientation val="minMax"/>
        </c:scaling>
        <c:delete val="0"/>
        <c:axPos val="b"/>
        <c:numFmt formatCode="0%" sourceLinked="1"/>
        <c:majorTickMark val="none"/>
        <c:minorTickMark val="none"/>
        <c:tickLblPos val="nextTo"/>
        <c:txPr>
          <a:bodyPr/>
          <a:lstStyle/>
          <a:p>
            <a:pPr>
              <a:defRPr sz="1200">
                <a:latin typeface="+mj-lt"/>
              </a:defRPr>
            </a:pPr>
            <a:endParaRPr lang="en-US"/>
          </a:p>
        </c:txPr>
        <c:crossAx val="286843640"/>
        <c:crosses val="autoZero"/>
        <c:auto val="0"/>
        <c:lblAlgn val="ctr"/>
        <c:lblOffset val="0"/>
        <c:tickLblSkip val="1"/>
        <c:tickMarkSkip val="1"/>
        <c:noMultiLvlLbl val="0"/>
      </c:catAx>
      <c:valAx>
        <c:axId val="286843640"/>
        <c:scaling>
          <c:orientation val="minMax"/>
          <c:max val="5400"/>
          <c:min val="1800"/>
        </c:scaling>
        <c:delete val="0"/>
        <c:axPos val="l"/>
        <c:majorGridlines/>
        <c:numFmt formatCode="#,##0" sourceLinked="1"/>
        <c:majorTickMark val="none"/>
        <c:minorTickMark val="none"/>
        <c:tickLblPos val="nextTo"/>
        <c:txPr>
          <a:bodyPr/>
          <a:lstStyle/>
          <a:p>
            <a:pPr>
              <a:defRPr sz="1200">
                <a:latin typeface="+mj-lt"/>
              </a:defRPr>
            </a:pPr>
            <a:endParaRPr lang="en-US"/>
          </a:p>
        </c:txPr>
        <c:crossAx val="286843248"/>
        <c:crosses val="autoZero"/>
        <c:crossBetween val="between"/>
        <c:majorUnit val="200"/>
      </c:valAx>
    </c:plotArea>
    <c:legend>
      <c:legendPos val="r"/>
      <c:layout>
        <c:manualLayout>
          <c:xMode val="edge"/>
          <c:yMode val="edge"/>
          <c:x val="0.83729038031661096"/>
          <c:y val="0.17318062514912907"/>
          <c:w val="0.15576948413642774"/>
          <c:h val="0.67518735915586314"/>
        </c:manualLayout>
      </c:layout>
      <c:overlay val="0"/>
      <c:txPr>
        <a:bodyPr/>
        <a:lstStyle/>
        <a:p>
          <a:pPr>
            <a:defRPr sz="1050">
              <a:latin typeface="+mj-lt"/>
            </a:defRPr>
          </a:pPr>
          <a:endParaRPr lang="en-US"/>
        </a:p>
      </c:txPr>
    </c:legend>
    <c:plotVisOnly val="1"/>
    <c:dispBlanksAs val="gap"/>
    <c:showDLblsOverMax val="0"/>
  </c:chart>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15</xdr:col>
      <xdr:colOff>317500</xdr:colOff>
      <xdr:row>1</xdr:row>
      <xdr:rowOff>21166</xdr:rowOff>
    </xdr:from>
    <xdr:to>
      <xdr:col>24</xdr:col>
      <xdr:colOff>179916</xdr:colOff>
      <xdr:row>4</xdr:row>
      <xdr:rowOff>232833</xdr:rowOff>
    </xdr:to>
    <xdr:sp macro="" textlink="">
      <xdr:nvSpPr>
        <xdr:cNvPr id="2" name="TextBox 1"/>
        <xdr:cNvSpPr txBox="1"/>
      </xdr:nvSpPr>
      <xdr:spPr>
        <a:xfrm>
          <a:off x="9228667" y="264583"/>
          <a:ext cx="5386916" cy="1206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2400" b="1">
              <a:solidFill>
                <a:schemeClr val="dk1"/>
              </a:solidFill>
              <a:effectLst/>
              <a:latin typeface="+mj-lt"/>
              <a:ea typeface="+mn-ea"/>
              <a:cs typeface="+mn-cs"/>
            </a:rPr>
            <a:t>Grower Decision Support Tool for Conversion to a Chestnut Orchard System</a:t>
          </a:r>
          <a:endParaRPr lang="en-US" sz="2400">
            <a:solidFill>
              <a:schemeClr val="dk1"/>
            </a:solidFill>
            <a:effectLst/>
            <a:latin typeface="+mj-lt"/>
            <a:ea typeface="+mn-ea"/>
            <a:cs typeface="+mn-cs"/>
          </a:endParaRPr>
        </a:p>
        <a:p>
          <a:endParaRPr lang="en-US" sz="1100"/>
        </a:p>
      </xdr:txBody>
    </xdr:sp>
    <xdr:clientData/>
  </xdr:twoCellAnchor>
  <xdr:twoCellAnchor>
    <xdr:from>
      <xdr:col>15</xdr:col>
      <xdr:colOff>448733</xdr:colOff>
      <xdr:row>5</xdr:row>
      <xdr:rowOff>141818</xdr:rowOff>
    </xdr:from>
    <xdr:to>
      <xdr:col>24</xdr:col>
      <xdr:colOff>311149</xdr:colOff>
      <xdr:row>7</xdr:row>
      <xdr:rowOff>107158</xdr:rowOff>
    </xdr:to>
    <xdr:sp macro="" textlink="">
      <xdr:nvSpPr>
        <xdr:cNvPr id="3" name="TextBox 2"/>
        <xdr:cNvSpPr txBox="1"/>
      </xdr:nvSpPr>
      <xdr:spPr>
        <a:xfrm>
          <a:off x="9747514" y="1975381"/>
          <a:ext cx="5327385" cy="3820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xdr:col>
      <xdr:colOff>389467</xdr:colOff>
      <xdr:row>4</xdr:row>
      <xdr:rowOff>527050</xdr:rowOff>
    </xdr:from>
    <xdr:to>
      <xdr:col>24</xdr:col>
      <xdr:colOff>251883</xdr:colOff>
      <xdr:row>7</xdr:row>
      <xdr:rowOff>107158</xdr:rowOff>
    </xdr:to>
    <xdr:sp macro="" textlink="">
      <xdr:nvSpPr>
        <xdr:cNvPr id="4" name="TextBox 3"/>
        <xdr:cNvSpPr txBox="1"/>
      </xdr:nvSpPr>
      <xdr:spPr>
        <a:xfrm>
          <a:off x="9688248" y="1717675"/>
          <a:ext cx="5327385" cy="6397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800" b="1" i="1">
              <a:solidFill>
                <a:schemeClr val="dk1"/>
              </a:solidFill>
              <a:effectLst/>
              <a:latin typeface="+mj-lt"/>
              <a:ea typeface="+mn-ea"/>
              <a:cs typeface="+mn-cs"/>
            </a:rPr>
            <a:t>An Evaluation of the Profitability of  C</a:t>
          </a:r>
          <a:r>
            <a:rPr lang="en-US" sz="1800" b="1" i="1" baseline="0">
              <a:solidFill>
                <a:schemeClr val="dk1"/>
              </a:solidFill>
              <a:effectLst/>
              <a:latin typeface="+mj-lt"/>
              <a:ea typeface="+mn-ea"/>
              <a:cs typeface="+mn-cs"/>
            </a:rPr>
            <a:t>hestnuts versus a "defender" crop</a:t>
          </a:r>
          <a:endParaRPr lang="en-US" sz="1800">
            <a:solidFill>
              <a:schemeClr val="dk1"/>
            </a:solidFill>
            <a:effectLst/>
            <a:latin typeface="+mj-lt"/>
            <a:ea typeface="+mn-ea"/>
            <a:cs typeface="+mn-cs"/>
          </a:endParaRPr>
        </a:p>
        <a:p>
          <a:endParaRPr lang="en-US" sz="1100"/>
        </a:p>
      </xdr:txBody>
    </xdr:sp>
    <xdr:clientData/>
  </xdr:twoCellAnchor>
  <xdr:twoCellAnchor editAs="oneCell">
    <xdr:from>
      <xdr:col>17</xdr:col>
      <xdr:colOff>419100</xdr:colOff>
      <xdr:row>12</xdr:row>
      <xdr:rowOff>151586</xdr:rowOff>
    </xdr:from>
    <xdr:to>
      <xdr:col>22</xdr:col>
      <xdr:colOff>165054</xdr:colOff>
      <xdr:row>16</xdr:row>
      <xdr:rowOff>175260</xdr:rowOff>
    </xdr:to>
    <xdr:pic>
      <xdr:nvPicPr>
        <xdr:cNvPr id="6" name="Picture 5"/>
        <xdr:cNvPicPr>
          <a:picLocks noChangeAspect="1"/>
        </xdr:cNvPicPr>
      </xdr:nvPicPr>
      <xdr:blipFill>
        <a:blip xmlns:r="http://schemas.openxmlformats.org/officeDocument/2006/relationships" r:embed="rId1"/>
        <a:stretch>
          <a:fillRect/>
        </a:stretch>
      </xdr:blipFill>
      <xdr:spPr>
        <a:xfrm>
          <a:off x="11361420" y="3588206"/>
          <a:ext cx="2870154" cy="1113334"/>
        </a:xfrm>
        <a:prstGeom prst="rect">
          <a:avLst/>
        </a:prstGeom>
      </xdr:spPr>
    </xdr:pic>
    <xdr:clientData/>
  </xdr:twoCellAnchor>
  <xdr:twoCellAnchor editAs="oneCell">
    <xdr:from>
      <xdr:col>17</xdr:col>
      <xdr:colOff>381000</xdr:colOff>
      <xdr:row>17</xdr:row>
      <xdr:rowOff>175260</xdr:rowOff>
    </xdr:from>
    <xdr:to>
      <xdr:col>22</xdr:col>
      <xdr:colOff>480060</xdr:colOff>
      <xdr:row>19</xdr:row>
      <xdr:rowOff>197449</xdr:rowOff>
    </xdr:to>
    <xdr:pic>
      <xdr:nvPicPr>
        <xdr:cNvPr id="7"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323320" y="4892040"/>
          <a:ext cx="3223260" cy="464149"/>
        </a:xfrm>
        <a:prstGeom prst="rect">
          <a:avLst/>
        </a:prstGeom>
      </xdr:spPr>
    </xdr:pic>
    <xdr:clientData/>
  </xdr:twoCellAnchor>
  <xdr:twoCellAnchor editAs="oneCell">
    <xdr:from>
      <xdr:col>17</xdr:col>
      <xdr:colOff>363361</xdr:colOff>
      <xdr:row>20</xdr:row>
      <xdr:rowOff>28080</xdr:rowOff>
    </xdr:from>
    <xdr:to>
      <xdr:col>22</xdr:col>
      <xdr:colOff>464820</xdr:colOff>
      <xdr:row>22</xdr:row>
      <xdr:rowOff>66416</xdr:rowOff>
    </xdr:to>
    <xdr:pic>
      <xdr:nvPicPr>
        <xdr:cNvPr id="8" name="Picture 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305681" y="5415420"/>
          <a:ext cx="3225659" cy="419336"/>
        </a:xfrm>
        <a:prstGeom prst="rect">
          <a:avLst/>
        </a:prstGeom>
      </xdr:spPr>
    </xdr:pic>
    <xdr:clientData/>
  </xdr:twoCellAnchor>
  <xdr:twoCellAnchor editAs="oneCell">
    <xdr:from>
      <xdr:col>19</xdr:col>
      <xdr:colOff>35721</xdr:colOff>
      <xdr:row>23</xdr:row>
      <xdr:rowOff>18494</xdr:rowOff>
    </xdr:from>
    <xdr:to>
      <xdr:col>21</xdr:col>
      <xdr:colOff>226218</xdr:colOff>
      <xdr:row>32</xdr:row>
      <xdr:rowOff>146015</xdr:rowOff>
    </xdr:to>
    <xdr:pic>
      <xdr:nvPicPr>
        <xdr:cNvPr id="5" name="Picture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763377" y="6031150"/>
          <a:ext cx="1404935" cy="17348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28575</xdr:colOff>
      <xdr:row>18</xdr:row>
      <xdr:rowOff>152400</xdr:rowOff>
    </xdr:from>
    <xdr:to>
      <xdr:col>21</xdr:col>
      <xdr:colOff>66012</xdr:colOff>
      <xdr:row>48</xdr:row>
      <xdr:rowOff>66182</xdr:rowOff>
    </xdr:to>
    <xdr:pic>
      <xdr:nvPicPr>
        <xdr:cNvPr id="8" name="Picture 7"/>
        <xdr:cNvPicPr>
          <a:picLocks noChangeAspect="1"/>
        </xdr:cNvPicPr>
      </xdr:nvPicPr>
      <xdr:blipFill>
        <a:blip xmlns:r="http://schemas.openxmlformats.org/officeDocument/2006/relationships" r:embed="rId1"/>
        <a:stretch>
          <a:fillRect/>
        </a:stretch>
      </xdr:blipFill>
      <xdr:spPr>
        <a:xfrm>
          <a:off x="7086600" y="4210050"/>
          <a:ext cx="5304762" cy="3942857"/>
        </a:xfrm>
        <a:prstGeom prst="rect">
          <a:avLst/>
        </a:prstGeom>
      </xdr:spPr>
    </xdr:pic>
    <xdr:clientData/>
  </xdr:twoCellAnchor>
  <xdr:twoCellAnchor editAs="oneCell">
    <xdr:from>
      <xdr:col>12</xdr:col>
      <xdr:colOff>19050</xdr:colOff>
      <xdr:row>0</xdr:row>
      <xdr:rowOff>28575</xdr:rowOff>
    </xdr:from>
    <xdr:to>
      <xdr:col>21</xdr:col>
      <xdr:colOff>56487</xdr:colOff>
      <xdr:row>18</xdr:row>
      <xdr:rowOff>180449</xdr:rowOff>
    </xdr:to>
    <xdr:pic>
      <xdr:nvPicPr>
        <xdr:cNvPr id="9" name="Picture 8"/>
        <xdr:cNvPicPr>
          <a:picLocks noChangeAspect="1"/>
        </xdr:cNvPicPr>
      </xdr:nvPicPr>
      <xdr:blipFill>
        <a:blip xmlns:r="http://schemas.openxmlformats.org/officeDocument/2006/relationships" r:embed="rId2"/>
        <a:stretch>
          <a:fillRect/>
        </a:stretch>
      </xdr:blipFill>
      <xdr:spPr>
        <a:xfrm>
          <a:off x="7077075" y="28575"/>
          <a:ext cx="5304762" cy="4209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323849</xdr:colOff>
      <xdr:row>5</xdr:row>
      <xdr:rowOff>171450</xdr:rowOff>
    </xdr:from>
    <xdr:to>
      <xdr:col>17</xdr:col>
      <xdr:colOff>152400</xdr:colOff>
      <xdr:row>25</xdr:row>
      <xdr:rowOff>95249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342899</xdr:colOff>
      <xdr:row>3</xdr:row>
      <xdr:rowOff>142875</xdr:rowOff>
    </xdr:from>
    <xdr:to>
      <xdr:col>20</xdr:col>
      <xdr:colOff>238125</xdr:colOff>
      <xdr:row>32</xdr:row>
      <xdr:rowOff>84667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471497</xdr:colOff>
      <xdr:row>7</xdr:row>
      <xdr:rowOff>0</xdr:rowOff>
    </xdr:from>
    <xdr:to>
      <xdr:col>9</xdr:col>
      <xdr:colOff>74085</xdr:colOff>
      <xdr:row>21</xdr:row>
      <xdr:rowOff>42334</xdr:rowOff>
    </xdr:to>
    <xdr:sp macro="" textlink="">
      <xdr:nvSpPr>
        <xdr:cNvPr id="4" name="TextBox 3"/>
        <xdr:cNvSpPr txBox="1"/>
      </xdr:nvSpPr>
      <xdr:spPr>
        <a:xfrm rot="-5400000">
          <a:off x="4738958" y="2643456"/>
          <a:ext cx="2857500" cy="3434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600" b="1">
              <a:latin typeface="+mj-lt"/>
            </a:rPr>
            <a:t>Break-Even</a:t>
          </a:r>
          <a:r>
            <a:rPr lang="en-US" sz="1600" b="1" baseline="0">
              <a:latin typeface="+mj-lt"/>
            </a:rPr>
            <a:t> (lbs./acre)</a:t>
          </a:r>
          <a:endParaRPr lang="en-US" sz="1600" b="1">
            <a:latin typeface="+mj-lt"/>
          </a:endParaRPr>
        </a:p>
      </xdr:txBody>
    </xdr:sp>
    <xdr:clientData/>
  </xdr:twoCellAnchor>
  <xdr:twoCellAnchor>
    <xdr:from>
      <xdr:col>12</xdr:col>
      <xdr:colOff>243416</xdr:colOff>
      <xdr:row>29</xdr:row>
      <xdr:rowOff>191557</xdr:rowOff>
    </xdr:from>
    <xdr:to>
      <xdr:col>17</xdr:col>
      <xdr:colOff>486832</xdr:colOff>
      <xdr:row>31</xdr:row>
      <xdr:rowOff>96307</xdr:rowOff>
    </xdr:to>
    <xdr:sp macro="" textlink="">
      <xdr:nvSpPr>
        <xdr:cNvPr id="5" name="TextBox 4"/>
        <xdr:cNvSpPr txBox="1"/>
      </xdr:nvSpPr>
      <xdr:spPr>
        <a:xfrm>
          <a:off x="8350249" y="6001807"/>
          <a:ext cx="3312583" cy="2963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latin typeface="+mj-lt"/>
            </a:rPr>
            <a:t>Target Rate of Return (%)</a:t>
          </a:r>
        </a:p>
      </xdr:txBody>
    </xdr:sp>
    <xdr:clientData/>
  </xdr:twoCellAnchor>
  <xdr:twoCellAnchor>
    <xdr:from>
      <xdr:col>8</xdr:col>
      <xdr:colOff>561975</xdr:colOff>
      <xdr:row>4</xdr:row>
      <xdr:rowOff>76200</xdr:rowOff>
    </xdr:from>
    <xdr:to>
      <xdr:col>20</xdr:col>
      <xdr:colOff>171450</xdr:colOff>
      <xdr:row>7</xdr:row>
      <xdr:rowOff>9525</xdr:rowOff>
    </xdr:to>
    <xdr:sp macro="" textlink="">
      <xdr:nvSpPr>
        <xdr:cNvPr id="6" name="TextBox 5"/>
        <xdr:cNvSpPr txBox="1"/>
      </xdr:nvSpPr>
      <xdr:spPr>
        <a:xfrm>
          <a:off x="6076950" y="857250"/>
          <a:ext cx="7058025"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latin typeface="+mj-lt"/>
            </a:rPr>
            <a:t>Comparative Break -Even at Full</a:t>
          </a:r>
          <a:r>
            <a:rPr lang="en-US" sz="1400" b="1" baseline="0">
              <a:latin typeface="+mj-lt"/>
            </a:rPr>
            <a:t> Production for the Chestnut Orchard to Generate the Equivalent Plus Return to a Standard Tart Cherry Orchard (12,000 lbs @ </a:t>
          </a:r>
          <a:r>
            <a:rPr lang="en-US" sz="1400" b="1" u="none" baseline="0">
              <a:latin typeface="+mj-lt"/>
            </a:rPr>
            <a:t>$0.35)</a:t>
          </a:r>
          <a:endParaRPr lang="en-US" sz="1400" b="1" u="none">
            <a:latin typeface="+mj-lt"/>
          </a:endParaRPr>
        </a:p>
      </xdr:txBody>
    </xdr:sp>
    <xdr:clientData/>
  </xdr:twoCellAnchor>
  <xdr:twoCellAnchor>
    <xdr:from>
      <xdr:col>9</xdr:col>
      <xdr:colOff>0</xdr:colOff>
      <xdr:row>35</xdr:row>
      <xdr:rowOff>163286</xdr:rowOff>
    </xdr:from>
    <xdr:to>
      <xdr:col>21</xdr:col>
      <xdr:colOff>31298</xdr:colOff>
      <xdr:row>63</xdr:row>
      <xdr:rowOff>132292</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81646</xdr:colOff>
      <xdr:row>41</xdr:row>
      <xdr:rowOff>40820</xdr:rowOff>
    </xdr:from>
    <xdr:to>
      <xdr:col>9</xdr:col>
      <xdr:colOff>432627</xdr:colOff>
      <xdr:row>58</xdr:row>
      <xdr:rowOff>13607</xdr:rowOff>
    </xdr:to>
    <xdr:sp macro="" textlink="">
      <xdr:nvSpPr>
        <xdr:cNvPr id="9" name="TextBox 8"/>
        <xdr:cNvSpPr txBox="1"/>
      </xdr:nvSpPr>
      <xdr:spPr>
        <a:xfrm rot="-5400000">
          <a:off x="4883565" y="9730508"/>
          <a:ext cx="3347358" cy="350981"/>
        </a:xfrm>
        <a:prstGeom prst="rect">
          <a:avLst/>
        </a:prstGeom>
        <a:solidFill>
          <a:sysClr val="window" lastClr="FFFFFF"/>
        </a:solid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ysClr val="windowText" lastClr="000000"/>
              </a:solidFill>
              <a:effectLst/>
              <a:uLnTx/>
              <a:uFillTx/>
              <a:latin typeface="Cambria"/>
            </a:rPr>
            <a:t>Break-Even (lbs./acre)</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0.00688</cdr:x>
      <cdr:y>0.00869</cdr:y>
    </cdr:from>
    <cdr:to>
      <cdr:x>1</cdr:x>
      <cdr:y>0.102</cdr:y>
    </cdr:to>
    <cdr:sp macro="" textlink="">
      <cdr:nvSpPr>
        <cdr:cNvPr id="2" name="TextBox 5"/>
        <cdr:cNvSpPr txBox="1"/>
      </cdr:nvSpPr>
      <cdr:spPr>
        <a:xfrm xmlns:a="http://schemas.openxmlformats.org/drawingml/2006/main">
          <a:off x="50800" y="45362"/>
          <a:ext cx="7328355" cy="48723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400" b="1">
              <a:latin typeface="+mj-lt"/>
            </a:rPr>
            <a:t>Comparative Break -Even Yields at Full</a:t>
          </a:r>
          <a:r>
            <a:rPr lang="en-US" sz="1400" b="1" baseline="0">
              <a:latin typeface="+mj-lt"/>
            </a:rPr>
            <a:t> Production for the Chestnut Orchard to Generate the desired Rate of Return with Varying Prices (30 year planning horison)</a:t>
          </a:r>
          <a:endParaRPr lang="en-US" sz="1400" b="1" u="none">
            <a:latin typeface="+mj-lt"/>
          </a:endParaRPr>
        </a:p>
      </cdr:txBody>
    </cdr:sp>
  </cdr:relSizeAnchor>
  <cdr:relSizeAnchor xmlns:cdr="http://schemas.openxmlformats.org/drawingml/2006/chartDrawing">
    <cdr:from>
      <cdr:x>0.29027</cdr:x>
      <cdr:y>0.91403</cdr:y>
    </cdr:from>
    <cdr:to>
      <cdr:x>0.85377</cdr:x>
      <cdr:y>0.97206</cdr:y>
    </cdr:to>
    <cdr:sp macro="" textlink="">
      <cdr:nvSpPr>
        <cdr:cNvPr id="4" name="TextBox 4"/>
        <cdr:cNvSpPr txBox="1"/>
      </cdr:nvSpPr>
      <cdr:spPr>
        <a:xfrm xmlns:a="http://schemas.openxmlformats.org/drawingml/2006/main">
          <a:off x="2141915" y="4772480"/>
          <a:ext cx="4158191" cy="30298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600" b="1" baseline="0">
              <a:latin typeface="+mj-lt"/>
            </a:rPr>
            <a:t> </a:t>
          </a:r>
          <a:r>
            <a:rPr lang="en-US" sz="1600" b="1">
              <a:latin typeface="+mj-lt"/>
            </a:rPr>
            <a:t>Target Rate of Return (%)</a:t>
          </a:r>
        </a:p>
        <a:p xmlns:a="http://schemas.openxmlformats.org/drawingml/2006/main">
          <a:endParaRPr lang="en-US" sz="1600" b="1">
            <a:latin typeface="+mj-lt"/>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B76"/>
  <sheetViews>
    <sheetView topLeftCell="F1" zoomScale="80" zoomScaleNormal="80" workbookViewId="0">
      <selection activeCell="F1" sqref="F1:O1"/>
    </sheetView>
  </sheetViews>
  <sheetFormatPr defaultRowHeight="14.4" x14ac:dyDescent="0.3"/>
  <cols>
    <col min="1" max="3" width="0" style="102" hidden="1" customWidth="1"/>
    <col min="4" max="4" width="8.109375" style="102" hidden="1" customWidth="1"/>
    <col min="5" max="5" width="2.5546875" style="102" hidden="1" customWidth="1"/>
    <col min="6" max="6" width="12.44140625" customWidth="1"/>
    <col min="7" max="7" width="11" customWidth="1"/>
    <col min="8" max="8" width="11.5546875" customWidth="1"/>
    <col min="9" max="9" width="11.33203125" customWidth="1"/>
    <col min="10" max="10" width="11.44140625" customWidth="1"/>
    <col min="11" max="11" width="14.5546875" customWidth="1"/>
    <col min="12" max="12" width="13.109375" customWidth="1"/>
    <col min="13" max="13" width="13.6640625" customWidth="1"/>
    <col min="14" max="14" width="14.88671875" customWidth="1"/>
    <col min="15" max="15" width="25.109375" customWidth="1"/>
    <col min="16" max="28" width="9.109375" style="278"/>
  </cols>
  <sheetData>
    <row r="1" spans="6:28" ht="18.600000000000001" thickBot="1" x14ac:dyDescent="0.4">
      <c r="F1" s="465" t="s">
        <v>172</v>
      </c>
      <c r="G1" s="466"/>
      <c r="H1" s="466"/>
      <c r="I1" s="466"/>
      <c r="J1" s="466"/>
      <c r="K1" s="466"/>
      <c r="L1" s="466"/>
      <c r="M1" s="466"/>
      <c r="N1" s="466"/>
      <c r="O1" s="467"/>
    </row>
    <row r="2" spans="6:28" s="278" customFormat="1" ht="15" thickBot="1" x14ac:dyDescent="0.35">
      <c r="F2" s="339"/>
      <c r="G2" s="340"/>
      <c r="H2" s="340"/>
      <c r="I2" s="340"/>
      <c r="J2" s="340"/>
      <c r="K2" s="340"/>
      <c r="L2" s="340"/>
      <c r="M2" s="340"/>
      <c r="N2" s="340"/>
      <c r="O2" s="341"/>
    </row>
    <row r="3" spans="6:28" ht="18.600000000000001" thickBot="1" x14ac:dyDescent="0.4">
      <c r="F3" s="465" t="s">
        <v>173</v>
      </c>
      <c r="G3" s="466"/>
      <c r="H3" s="466"/>
      <c r="I3" s="466"/>
      <c r="J3" s="466"/>
      <c r="K3" s="466"/>
      <c r="L3" s="466"/>
      <c r="M3" s="466"/>
      <c r="N3" s="466"/>
      <c r="O3" s="467"/>
    </row>
    <row r="4" spans="6:28" s="102" customFormat="1" ht="43.5" customHeight="1" thickBot="1" x14ac:dyDescent="0.35">
      <c r="F4" s="183">
        <v>1</v>
      </c>
      <c r="G4" s="468" t="s">
        <v>349</v>
      </c>
      <c r="H4" s="469"/>
      <c r="I4" s="469"/>
      <c r="J4" s="469"/>
      <c r="K4" s="469"/>
      <c r="L4" s="469"/>
      <c r="M4" s="469"/>
      <c r="N4" s="469"/>
      <c r="O4" s="470"/>
      <c r="P4" s="278"/>
      <c r="Q4" s="278"/>
      <c r="R4" s="278"/>
      <c r="S4" s="278"/>
      <c r="T4" s="278"/>
      <c r="U4" s="278"/>
      <c r="V4" s="278"/>
      <c r="W4" s="278"/>
      <c r="X4" s="278"/>
      <c r="Y4" s="278"/>
      <c r="Z4" s="278"/>
      <c r="AA4" s="278"/>
      <c r="AB4" s="278"/>
    </row>
    <row r="5" spans="6:28" ht="51" customHeight="1" thickBot="1" x14ac:dyDescent="0.35">
      <c r="F5" s="182">
        <v>2</v>
      </c>
      <c r="G5" s="471" t="s">
        <v>317</v>
      </c>
      <c r="H5" s="472"/>
      <c r="I5" s="472"/>
      <c r="J5" s="472"/>
      <c r="K5" s="472"/>
      <c r="L5" s="472"/>
      <c r="M5" s="472"/>
      <c r="N5" s="472"/>
      <c r="O5" s="473"/>
    </row>
    <row r="6" spans="6:28" s="278" customFormat="1" ht="15" thickBot="1" x14ac:dyDescent="0.35">
      <c r="F6" s="333"/>
      <c r="G6" s="334"/>
      <c r="H6" s="334"/>
      <c r="I6" s="334"/>
      <c r="J6" s="334"/>
      <c r="K6" s="334"/>
      <c r="L6" s="334"/>
      <c r="M6" s="334"/>
      <c r="N6" s="334"/>
      <c r="O6" s="335"/>
    </row>
    <row r="7" spans="6:28" ht="18.600000000000001" thickBot="1" x14ac:dyDescent="0.4">
      <c r="F7" s="465" t="s">
        <v>174</v>
      </c>
      <c r="G7" s="466"/>
      <c r="H7" s="466"/>
      <c r="I7" s="466"/>
      <c r="J7" s="466"/>
      <c r="K7" s="466"/>
      <c r="L7" s="466"/>
      <c r="M7" s="466"/>
      <c r="N7" s="466"/>
      <c r="O7" s="467"/>
    </row>
    <row r="8" spans="6:28" ht="15" thickBot="1" x14ac:dyDescent="0.35">
      <c r="F8" s="474" t="s">
        <v>175</v>
      </c>
      <c r="G8" s="450" t="s">
        <v>315</v>
      </c>
      <c r="H8" s="451"/>
      <c r="I8" s="451"/>
      <c r="J8" s="451"/>
      <c r="K8" s="451"/>
      <c r="L8" s="451"/>
      <c r="M8" s="451"/>
      <c r="N8" s="451"/>
      <c r="O8" s="452"/>
    </row>
    <row r="9" spans="6:28" ht="24.15" customHeight="1" thickBot="1" x14ac:dyDescent="0.35">
      <c r="F9" s="474"/>
      <c r="G9" s="456"/>
      <c r="H9" s="457"/>
      <c r="I9" s="457"/>
      <c r="J9" s="457"/>
      <c r="K9" s="457"/>
      <c r="L9" s="457"/>
      <c r="M9" s="457"/>
      <c r="N9" s="457"/>
      <c r="O9" s="458"/>
    </row>
    <row r="10" spans="6:28" ht="15" thickBot="1" x14ac:dyDescent="0.35">
      <c r="F10" s="474" t="s">
        <v>175</v>
      </c>
      <c r="G10" s="475" t="s">
        <v>352</v>
      </c>
      <c r="H10" s="476"/>
      <c r="I10" s="476"/>
      <c r="J10" s="476"/>
      <c r="K10" s="476"/>
      <c r="L10" s="476"/>
      <c r="M10" s="476"/>
      <c r="N10" s="476"/>
      <c r="O10" s="477"/>
    </row>
    <row r="11" spans="6:28" ht="21" customHeight="1" thickBot="1" x14ac:dyDescent="0.35">
      <c r="F11" s="474"/>
      <c r="G11" s="478"/>
      <c r="H11" s="479"/>
      <c r="I11" s="479"/>
      <c r="J11" s="479"/>
      <c r="K11" s="479"/>
      <c r="L11" s="479"/>
      <c r="M11" s="479"/>
      <c r="N11" s="479"/>
      <c r="O11" s="480"/>
    </row>
    <row r="12" spans="6:28" ht="15.75" customHeight="1" x14ac:dyDescent="0.3">
      <c r="F12" s="481" t="s">
        <v>175</v>
      </c>
      <c r="G12" s="475" t="s">
        <v>318</v>
      </c>
      <c r="H12" s="451"/>
      <c r="I12" s="451"/>
      <c r="J12" s="451"/>
      <c r="K12" s="451"/>
      <c r="L12" s="451"/>
      <c r="M12" s="451"/>
      <c r="N12" s="451"/>
      <c r="O12" s="452"/>
      <c r="T12" s="278" t="s">
        <v>358</v>
      </c>
    </row>
    <row r="13" spans="6:28" ht="38.4" customHeight="1" thickBot="1" x14ac:dyDescent="0.35">
      <c r="F13" s="482"/>
      <c r="G13" s="456"/>
      <c r="H13" s="457"/>
      <c r="I13" s="457"/>
      <c r="J13" s="457"/>
      <c r="K13" s="457"/>
      <c r="L13" s="457"/>
      <c r="M13" s="457"/>
      <c r="N13" s="457"/>
      <c r="O13" s="458"/>
    </row>
    <row r="14" spans="6:28" s="278" customFormat="1" ht="16.649999999999999" customHeight="1" thickBot="1" x14ac:dyDescent="0.35">
      <c r="F14" s="336"/>
      <c r="G14" s="337"/>
      <c r="H14" s="337"/>
      <c r="I14" s="337"/>
      <c r="J14" s="337"/>
      <c r="K14" s="337"/>
      <c r="L14" s="337"/>
      <c r="M14" s="337"/>
      <c r="N14" s="337"/>
      <c r="O14" s="338"/>
    </row>
    <row r="15" spans="6:28" s="102" customFormat="1" ht="15.75" customHeight="1" thickBot="1" x14ac:dyDescent="0.35">
      <c r="F15" s="483" t="s">
        <v>193</v>
      </c>
      <c r="G15" s="484"/>
      <c r="H15" s="484"/>
      <c r="I15" s="484"/>
      <c r="J15" s="484"/>
      <c r="K15" s="484"/>
      <c r="L15" s="484"/>
      <c r="M15" s="484"/>
      <c r="N15" s="484"/>
      <c r="O15" s="485"/>
      <c r="P15" s="278"/>
      <c r="Q15" s="278"/>
      <c r="R15" s="278"/>
      <c r="S15" s="278"/>
      <c r="T15" s="278"/>
      <c r="U15" s="278"/>
      <c r="V15" s="278"/>
      <c r="W15" s="278"/>
      <c r="X15" s="278"/>
      <c r="Y15" s="278"/>
      <c r="Z15" s="278"/>
      <c r="AA15" s="278"/>
      <c r="AB15" s="278"/>
    </row>
    <row r="16" spans="6:28" s="102" customFormat="1" ht="15.75" customHeight="1" thickBot="1" x14ac:dyDescent="0.35">
      <c r="F16" s="186"/>
      <c r="G16" s="468" t="s">
        <v>282</v>
      </c>
      <c r="H16" s="469"/>
      <c r="I16" s="469"/>
      <c r="J16" s="469"/>
      <c r="K16" s="469"/>
      <c r="L16" s="469"/>
      <c r="M16" s="469"/>
      <c r="N16" s="469"/>
      <c r="O16" s="470"/>
      <c r="P16" s="278"/>
      <c r="Q16" s="278"/>
      <c r="R16" s="278"/>
      <c r="S16" s="314"/>
      <c r="T16" s="278"/>
      <c r="U16" s="278"/>
      <c r="V16" s="278"/>
      <c r="W16" s="278"/>
      <c r="X16" s="278"/>
      <c r="Y16" s="278"/>
      <c r="Z16" s="278"/>
      <c r="AA16" s="278"/>
      <c r="AB16" s="278"/>
    </row>
    <row r="17" spans="6:28" s="278" customFormat="1" ht="15" thickBot="1" x14ac:dyDescent="0.35">
      <c r="F17" s="333"/>
      <c r="G17" s="334"/>
      <c r="H17" s="334"/>
      <c r="I17" s="334"/>
      <c r="J17" s="334"/>
      <c r="K17" s="334"/>
      <c r="L17" s="334"/>
      <c r="M17" s="334"/>
      <c r="N17" s="334"/>
      <c r="O17" s="335"/>
    </row>
    <row r="18" spans="6:28" ht="18.600000000000001" thickBot="1" x14ac:dyDescent="0.4">
      <c r="F18" s="465" t="s">
        <v>176</v>
      </c>
      <c r="G18" s="466"/>
      <c r="H18" s="466"/>
      <c r="I18" s="466"/>
      <c r="J18" s="466"/>
      <c r="K18" s="466"/>
      <c r="L18" s="466"/>
      <c r="M18" s="466"/>
      <c r="N18" s="466"/>
      <c r="O18" s="467"/>
    </row>
    <row r="19" spans="6:28" ht="16.2" thickBot="1" x14ac:dyDescent="0.35">
      <c r="F19" s="184" t="s">
        <v>178</v>
      </c>
      <c r="G19" s="506" t="s">
        <v>177</v>
      </c>
      <c r="H19" s="506"/>
      <c r="I19" s="507" t="s">
        <v>179</v>
      </c>
      <c r="J19" s="507"/>
      <c r="K19" s="507"/>
      <c r="L19" s="507"/>
      <c r="M19" s="507"/>
      <c r="N19" s="507"/>
      <c r="O19" s="508"/>
    </row>
    <row r="20" spans="6:28" ht="18" thickBot="1" x14ac:dyDescent="0.35">
      <c r="F20" s="185" t="s">
        <v>180</v>
      </c>
      <c r="G20" s="509" t="s">
        <v>181</v>
      </c>
      <c r="H20" s="509"/>
      <c r="I20" s="509"/>
      <c r="J20" s="509"/>
      <c r="K20" s="509"/>
      <c r="L20" s="509"/>
      <c r="M20" s="509"/>
      <c r="N20" s="509"/>
      <c r="O20" s="510"/>
    </row>
    <row r="21" spans="6:28" ht="15" customHeight="1" x14ac:dyDescent="0.3">
      <c r="F21" s="504" t="s">
        <v>313</v>
      </c>
      <c r="G21" s="495" t="s">
        <v>319</v>
      </c>
      <c r="H21" s="496"/>
      <c r="I21" s="496"/>
      <c r="J21" s="496"/>
      <c r="K21" s="496"/>
      <c r="L21" s="496"/>
      <c r="M21" s="496"/>
      <c r="N21" s="496"/>
      <c r="O21" s="497"/>
    </row>
    <row r="22" spans="6:28" ht="15" customHeight="1" x14ac:dyDescent="0.3">
      <c r="F22" s="505"/>
      <c r="G22" s="498"/>
      <c r="H22" s="499"/>
      <c r="I22" s="499"/>
      <c r="J22" s="499"/>
      <c r="K22" s="499"/>
      <c r="L22" s="499"/>
      <c r="M22" s="499"/>
      <c r="N22" s="499"/>
      <c r="O22" s="500"/>
    </row>
    <row r="23" spans="6:28" ht="15" customHeight="1" x14ac:dyDescent="0.3">
      <c r="F23" s="505"/>
      <c r="G23" s="498"/>
      <c r="H23" s="499"/>
      <c r="I23" s="499"/>
      <c r="J23" s="499"/>
      <c r="K23" s="499"/>
      <c r="L23" s="499"/>
      <c r="M23" s="499"/>
      <c r="N23" s="499"/>
      <c r="O23" s="500"/>
    </row>
    <row r="24" spans="6:28" ht="15" customHeight="1" x14ac:dyDescent="0.3">
      <c r="F24" s="505"/>
      <c r="G24" s="498"/>
      <c r="H24" s="499"/>
      <c r="I24" s="499"/>
      <c r="J24" s="499"/>
      <c r="K24" s="499"/>
      <c r="L24" s="499"/>
      <c r="M24" s="499"/>
      <c r="N24" s="499"/>
      <c r="O24" s="500"/>
    </row>
    <row r="25" spans="6:28" ht="15" customHeight="1" x14ac:dyDescent="0.3">
      <c r="F25" s="505"/>
      <c r="G25" s="498"/>
      <c r="H25" s="499"/>
      <c r="I25" s="499"/>
      <c r="J25" s="499"/>
      <c r="K25" s="499"/>
      <c r="L25" s="499"/>
      <c r="M25" s="499"/>
      <c r="N25" s="499"/>
      <c r="O25" s="500"/>
    </row>
    <row r="26" spans="6:28" s="102" customFormat="1" ht="15.75" customHeight="1" x14ac:dyDescent="0.3">
      <c r="F26" s="505"/>
      <c r="G26" s="498"/>
      <c r="H26" s="499"/>
      <c r="I26" s="499"/>
      <c r="J26" s="499"/>
      <c r="K26" s="499"/>
      <c r="L26" s="499"/>
      <c r="M26" s="499"/>
      <c r="N26" s="499"/>
      <c r="O26" s="500"/>
      <c r="P26" s="278"/>
      <c r="Q26" s="278"/>
      <c r="R26" s="278"/>
      <c r="S26" s="278"/>
      <c r="T26" s="278"/>
      <c r="U26" s="278"/>
      <c r="V26" s="278"/>
      <c r="W26" s="278"/>
      <c r="X26" s="278"/>
      <c r="Y26" s="278"/>
      <c r="Z26" s="278"/>
      <c r="AA26" s="278"/>
      <c r="AB26" s="278"/>
    </row>
    <row r="27" spans="6:28" s="102" customFormat="1" ht="15.75" customHeight="1" x14ac:dyDescent="0.3">
      <c r="F27" s="505"/>
      <c r="G27" s="498"/>
      <c r="H27" s="499"/>
      <c r="I27" s="499"/>
      <c r="J27" s="499"/>
      <c r="K27" s="499"/>
      <c r="L27" s="499"/>
      <c r="M27" s="499"/>
      <c r="N27" s="499"/>
      <c r="O27" s="500"/>
      <c r="P27" s="278"/>
      <c r="Q27" s="278"/>
      <c r="R27" s="278"/>
      <c r="S27" s="278"/>
      <c r="T27" s="278"/>
      <c r="U27" s="278"/>
      <c r="V27" s="278"/>
      <c r="W27" s="278"/>
      <c r="X27" s="278"/>
      <c r="Y27" s="278"/>
      <c r="Z27" s="278"/>
      <c r="AA27" s="278"/>
      <c r="AB27" s="278"/>
    </row>
    <row r="28" spans="6:28" s="102" customFormat="1" ht="9.75" customHeight="1" thickBot="1" x14ac:dyDescent="0.35">
      <c r="F28" s="505"/>
      <c r="G28" s="501"/>
      <c r="H28" s="502"/>
      <c r="I28" s="502"/>
      <c r="J28" s="502"/>
      <c r="K28" s="502"/>
      <c r="L28" s="502"/>
      <c r="M28" s="502"/>
      <c r="N28" s="502"/>
      <c r="O28" s="503"/>
      <c r="P28" s="278"/>
      <c r="Q28" s="278"/>
      <c r="R28" s="278"/>
      <c r="S28" s="278"/>
      <c r="T28" s="278"/>
      <c r="U28" s="278"/>
      <c r="V28" s="278"/>
      <c r="W28" s="278"/>
      <c r="X28" s="278"/>
      <c r="Y28" s="278"/>
      <c r="Z28" s="278"/>
      <c r="AA28" s="278"/>
      <c r="AB28" s="278"/>
    </row>
    <row r="29" spans="6:28" ht="10.5" customHeight="1" x14ac:dyDescent="0.3">
      <c r="F29" s="494" t="s">
        <v>316</v>
      </c>
      <c r="G29" s="475" t="s">
        <v>337</v>
      </c>
      <c r="H29" s="486"/>
      <c r="I29" s="486"/>
      <c r="J29" s="486"/>
      <c r="K29" s="486"/>
      <c r="L29" s="486"/>
      <c r="M29" s="486"/>
      <c r="N29" s="486"/>
      <c r="O29" s="487"/>
    </row>
    <row r="30" spans="6:28" x14ac:dyDescent="0.3">
      <c r="F30" s="494"/>
      <c r="G30" s="488"/>
      <c r="H30" s="489"/>
      <c r="I30" s="489"/>
      <c r="J30" s="489"/>
      <c r="K30" s="489"/>
      <c r="L30" s="489"/>
      <c r="M30" s="489"/>
      <c r="N30" s="489"/>
      <c r="O30" s="490"/>
    </row>
    <row r="31" spans="6:28" x14ac:dyDescent="0.3">
      <c r="F31" s="494"/>
      <c r="G31" s="488"/>
      <c r="H31" s="489"/>
      <c r="I31" s="489"/>
      <c r="J31" s="489"/>
      <c r="K31" s="489"/>
      <c r="L31" s="489"/>
      <c r="M31" s="489"/>
      <c r="N31" s="489"/>
      <c r="O31" s="490"/>
    </row>
    <row r="32" spans="6:28" x14ac:dyDescent="0.3">
      <c r="F32" s="494"/>
      <c r="G32" s="488"/>
      <c r="H32" s="489"/>
      <c r="I32" s="489"/>
      <c r="J32" s="489"/>
      <c r="K32" s="489"/>
      <c r="L32" s="489"/>
      <c r="M32" s="489"/>
      <c r="N32" s="489"/>
      <c r="O32" s="490"/>
    </row>
    <row r="33" spans="6:28" x14ac:dyDescent="0.3">
      <c r="F33" s="494"/>
      <c r="G33" s="488"/>
      <c r="H33" s="489"/>
      <c r="I33" s="489"/>
      <c r="J33" s="489"/>
      <c r="K33" s="489"/>
      <c r="L33" s="489"/>
      <c r="M33" s="489"/>
      <c r="N33" s="489"/>
      <c r="O33" s="490"/>
    </row>
    <row r="34" spans="6:28" s="102" customFormat="1" x14ac:dyDescent="0.3">
      <c r="F34" s="494"/>
      <c r="G34" s="488"/>
      <c r="H34" s="489"/>
      <c r="I34" s="489"/>
      <c r="J34" s="489"/>
      <c r="K34" s="489"/>
      <c r="L34" s="489"/>
      <c r="M34" s="489"/>
      <c r="N34" s="489"/>
      <c r="O34" s="490"/>
      <c r="P34" s="278"/>
      <c r="Q34" s="278"/>
      <c r="R34" s="278"/>
      <c r="S34" s="278"/>
      <c r="T34" s="278"/>
      <c r="U34" s="278"/>
      <c r="V34" s="278"/>
      <c r="W34" s="278"/>
      <c r="X34" s="278"/>
      <c r="Y34" s="278"/>
      <c r="Z34" s="278"/>
      <c r="AA34" s="278"/>
      <c r="AB34" s="278"/>
    </row>
    <row r="35" spans="6:28" ht="24.75" customHeight="1" thickBot="1" x14ac:dyDescent="0.35">
      <c r="F35" s="494"/>
      <c r="G35" s="491"/>
      <c r="H35" s="492"/>
      <c r="I35" s="492"/>
      <c r="J35" s="492"/>
      <c r="K35" s="492"/>
      <c r="L35" s="492"/>
      <c r="M35" s="492"/>
      <c r="N35" s="492"/>
      <c r="O35" s="493"/>
    </row>
    <row r="36" spans="6:28" ht="18.600000000000001" thickBot="1" x14ac:dyDescent="0.4">
      <c r="F36" s="511" t="s">
        <v>182</v>
      </c>
      <c r="G36" s="512"/>
      <c r="H36" s="512"/>
      <c r="I36" s="512"/>
      <c r="J36" s="512"/>
      <c r="K36" s="512"/>
      <c r="L36" s="512"/>
      <c r="M36" s="512"/>
      <c r="N36" s="512"/>
      <c r="O36" s="513"/>
    </row>
    <row r="37" spans="6:28" ht="15" customHeight="1" thickBot="1" x14ac:dyDescent="0.35">
      <c r="F37" s="459" t="s">
        <v>183</v>
      </c>
      <c r="G37" s="450" t="s">
        <v>351</v>
      </c>
      <c r="H37" s="451"/>
      <c r="I37" s="451"/>
      <c r="J37" s="451"/>
      <c r="K37" s="451"/>
      <c r="L37" s="451"/>
      <c r="M37" s="451"/>
      <c r="N37" s="451"/>
      <c r="O37" s="452"/>
    </row>
    <row r="38" spans="6:28" ht="15" customHeight="1" thickBot="1" x14ac:dyDescent="0.35">
      <c r="F38" s="459"/>
      <c r="G38" s="453"/>
      <c r="H38" s="454"/>
      <c r="I38" s="454"/>
      <c r="J38" s="454"/>
      <c r="K38" s="454"/>
      <c r="L38" s="454"/>
      <c r="M38" s="454"/>
      <c r="N38" s="454"/>
      <c r="O38" s="455"/>
    </row>
    <row r="39" spans="6:28" s="102" customFormat="1" ht="18.75" customHeight="1" thickBot="1" x14ac:dyDescent="0.35">
      <c r="F39" s="459"/>
      <c r="G39" s="453"/>
      <c r="H39" s="454"/>
      <c r="I39" s="454"/>
      <c r="J39" s="454"/>
      <c r="K39" s="454"/>
      <c r="L39" s="454"/>
      <c r="M39" s="454"/>
      <c r="N39" s="454"/>
      <c r="O39" s="455"/>
      <c r="P39" s="278"/>
      <c r="Q39" s="278"/>
      <c r="R39" s="278"/>
      <c r="S39" s="278"/>
      <c r="T39" s="278"/>
      <c r="U39" s="278"/>
      <c r="V39" s="278"/>
      <c r="W39" s="278"/>
      <c r="X39" s="278"/>
      <c r="Y39" s="278"/>
      <c r="Z39" s="278"/>
      <c r="AA39" s="278"/>
      <c r="AB39" s="278"/>
    </row>
    <row r="40" spans="6:28" s="102" customFormat="1" ht="18.75" customHeight="1" thickBot="1" x14ac:dyDescent="0.35">
      <c r="F40" s="459"/>
      <c r="G40" s="453"/>
      <c r="H40" s="454"/>
      <c r="I40" s="454"/>
      <c r="J40" s="454"/>
      <c r="K40" s="454"/>
      <c r="L40" s="454"/>
      <c r="M40" s="454"/>
      <c r="N40" s="454"/>
      <c r="O40" s="455"/>
      <c r="P40" s="278"/>
      <c r="Q40" s="278"/>
      <c r="R40" s="278"/>
      <c r="S40" s="278"/>
      <c r="T40" s="278"/>
      <c r="U40" s="278"/>
      <c r="V40" s="278"/>
      <c r="W40" s="278"/>
      <c r="X40" s="278"/>
      <c r="Y40" s="278"/>
      <c r="Z40" s="278"/>
      <c r="AA40" s="278"/>
      <c r="AB40" s="278"/>
    </row>
    <row r="41" spans="6:28" s="102" customFormat="1" ht="18.75" customHeight="1" thickBot="1" x14ac:dyDescent="0.35">
      <c r="F41" s="459"/>
      <c r="G41" s="456"/>
      <c r="H41" s="457"/>
      <c r="I41" s="457"/>
      <c r="J41" s="457"/>
      <c r="K41" s="457"/>
      <c r="L41" s="457"/>
      <c r="M41" s="457"/>
      <c r="N41" s="457"/>
      <c r="O41" s="458"/>
      <c r="P41" s="278"/>
      <c r="Q41" s="278"/>
      <c r="R41" s="278"/>
      <c r="S41" s="278"/>
      <c r="T41" s="278"/>
      <c r="U41" s="278"/>
      <c r="V41" s="278"/>
      <c r="W41" s="278"/>
      <c r="X41" s="278"/>
      <c r="Y41" s="278"/>
      <c r="Z41" s="278"/>
      <c r="AA41" s="278"/>
      <c r="AB41" s="278"/>
    </row>
    <row r="42" spans="6:28" ht="15" customHeight="1" thickBot="1" x14ac:dyDescent="0.35">
      <c r="F42" s="460" t="s">
        <v>184</v>
      </c>
      <c r="G42" s="514" t="s">
        <v>338</v>
      </c>
      <c r="H42" s="472"/>
      <c r="I42" s="472"/>
      <c r="J42" s="472"/>
      <c r="K42" s="472"/>
      <c r="L42" s="472"/>
      <c r="M42" s="472"/>
      <c r="N42" s="472"/>
      <c r="O42" s="473"/>
    </row>
    <row r="43" spans="6:28" ht="15" customHeight="1" thickBot="1" x14ac:dyDescent="0.35">
      <c r="F43" s="460"/>
      <c r="G43" s="471"/>
      <c r="H43" s="472"/>
      <c r="I43" s="472"/>
      <c r="J43" s="472"/>
      <c r="K43" s="472"/>
      <c r="L43" s="472"/>
      <c r="M43" s="472"/>
      <c r="N43" s="472"/>
      <c r="O43" s="473"/>
    </row>
    <row r="44" spans="6:28" ht="15" thickBot="1" x14ac:dyDescent="0.35">
      <c r="F44" s="460"/>
      <c r="G44" s="471"/>
      <c r="H44" s="472"/>
      <c r="I44" s="472"/>
      <c r="J44" s="472"/>
      <c r="K44" s="472"/>
      <c r="L44" s="472"/>
      <c r="M44" s="472"/>
      <c r="N44" s="472"/>
      <c r="O44" s="473"/>
    </row>
    <row r="45" spans="6:28" ht="15" customHeight="1" thickBot="1" x14ac:dyDescent="0.35">
      <c r="F45" s="459" t="s">
        <v>185</v>
      </c>
      <c r="G45" s="461" t="s">
        <v>314</v>
      </c>
      <c r="H45" s="462"/>
      <c r="I45" s="462"/>
      <c r="J45" s="462"/>
      <c r="K45" s="462"/>
      <c r="L45" s="462"/>
      <c r="M45" s="462"/>
      <c r="N45" s="462"/>
      <c r="O45" s="463"/>
    </row>
    <row r="46" spans="6:28" ht="15" customHeight="1" thickBot="1" x14ac:dyDescent="0.35">
      <c r="F46" s="464"/>
      <c r="G46" s="461"/>
      <c r="H46" s="462"/>
      <c r="I46" s="462"/>
      <c r="J46" s="462"/>
      <c r="K46" s="462"/>
      <c r="L46" s="462"/>
      <c r="M46" s="462"/>
      <c r="N46" s="462"/>
      <c r="O46" s="463"/>
    </row>
    <row r="47" spans="6:28" ht="15" thickBot="1" x14ac:dyDescent="0.35">
      <c r="F47" s="464"/>
      <c r="G47" s="461"/>
      <c r="H47" s="462"/>
      <c r="I47" s="462"/>
      <c r="J47" s="462"/>
      <c r="K47" s="462"/>
      <c r="L47" s="462"/>
      <c r="M47" s="462"/>
      <c r="N47" s="462"/>
      <c r="O47" s="463"/>
    </row>
    <row r="48" spans="6:28" ht="18" customHeight="1" thickBot="1" x14ac:dyDescent="0.35">
      <c r="F48" s="464"/>
      <c r="G48" s="461"/>
      <c r="H48" s="462"/>
      <c r="I48" s="462"/>
      <c r="J48" s="462"/>
      <c r="K48" s="462"/>
      <c r="L48" s="462"/>
      <c r="M48" s="462"/>
      <c r="N48" s="462"/>
      <c r="O48" s="463"/>
    </row>
    <row r="49" spans="6:15" ht="15" customHeight="1" thickBot="1" x14ac:dyDescent="0.35">
      <c r="F49" s="460" t="s">
        <v>186</v>
      </c>
      <c r="G49" s="450" t="s">
        <v>334</v>
      </c>
      <c r="H49" s="451"/>
      <c r="I49" s="451"/>
      <c r="J49" s="451"/>
      <c r="K49" s="451"/>
      <c r="L49" s="451"/>
      <c r="M49" s="451"/>
      <c r="N49" s="451"/>
      <c r="O49" s="452"/>
    </row>
    <row r="50" spans="6:15" ht="15" customHeight="1" thickBot="1" x14ac:dyDescent="0.35">
      <c r="F50" s="460"/>
      <c r="G50" s="453"/>
      <c r="H50" s="454"/>
      <c r="I50" s="454"/>
      <c r="J50" s="454"/>
      <c r="K50" s="454"/>
      <c r="L50" s="454"/>
      <c r="M50" s="454"/>
      <c r="N50" s="454"/>
      <c r="O50" s="455"/>
    </row>
    <row r="51" spans="6:15" ht="15" customHeight="1" thickBot="1" x14ac:dyDescent="0.35">
      <c r="F51" s="460"/>
      <c r="G51" s="453"/>
      <c r="H51" s="454"/>
      <c r="I51" s="454"/>
      <c r="J51" s="454"/>
      <c r="K51" s="454"/>
      <c r="L51" s="454"/>
      <c r="M51" s="454"/>
      <c r="N51" s="454"/>
      <c r="O51" s="455"/>
    </row>
    <row r="52" spans="6:15" ht="15.75" customHeight="1" thickBot="1" x14ac:dyDescent="0.35">
      <c r="F52" s="460"/>
      <c r="G52" s="453"/>
      <c r="H52" s="454"/>
      <c r="I52" s="454"/>
      <c r="J52" s="454"/>
      <c r="K52" s="454"/>
      <c r="L52" s="454"/>
      <c r="M52" s="454"/>
      <c r="N52" s="454"/>
      <c r="O52" s="455"/>
    </row>
    <row r="53" spans="6:15" ht="12" customHeight="1" thickBot="1" x14ac:dyDescent="0.35">
      <c r="F53" s="460"/>
      <c r="G53" s="456"/>
      <c r="H53" s="457"/>
      <c r="I53" s="457"/>
      <c r="J53" s="457"/>
      <c r="K53" s="457"/>
      <c r="L53" s="457"/>
      <c r="M53" s="457"/>
      <c r="N53" s="457"/>
      <c r="O53" s="458"/>
    </row>
    <row r="54" spans="6:15" ht="15" customHeight="1" thickBot="1" x14ac:dyDescent="0.35">
      <c r="F54" s="459" t="s">
        <v>187</v>
      </c>
      <c r="G54" s="450" t="s">
        <v>341</v>
      </c>
      <c r="H54" s="451"/>
      <c r="I54" s="451"/>
      <c r="J54" s="451"/>
      <c r="K54" s="451"/>
      <c r="L54" s="451"/>
      <c r="M54" s="451"/>
      <c r="N54" s="451"/>
      <c r="O54" s="452"/>
    </row>
    <row r="55" spans="6:15" ht="15" customHeight="1" thickBot="1" x14ac:dyDescent="0.35">
      <c r="F55" s="459"/>
      <c r="G55" s="453"/>
      <c r="H55" s="454"/>
      <c r="I55" s="454"/>
      <c r="J55" s="454"/>
      <c r="K55" s="454"/>
      <c r="L55" s="454"/>
      <c r="M55" s="454"/>
      <c r="N55" s="454"/>
      <c r="O55" s="455"/>
    </row>
    <row r="56" spans="6:15" ht="15" customHeight="1" thickBot="1" x14ac:dyDescent="0.35">
      <c r="F56" s="459"/>
      <c r="G56" s="453"/>
      <c r="H56" s="454"/>
      <c r="I56" s="454"/>
      <c r="J56" s="454"/>
      <c r="K56" s="454"/>
      <c r="L56" s="454"/>
      <c r="M56" s="454"/>
      <c r="N56" s="454"/>
      <c r="O56" s="455"/>
    </row>
    <row r="57" spans="6:15" ht="15" customHeight="1" thickBot="1" x14ac:dyDescent="0.35">
      <c r="F57" s="459"/>
      <c r="G57" s="453"/>
      <c r="H57" s="454"/>
      <c r="I57" s="454"/>
      <c r="J57" s="454"/>
      <c r="K57" s="454"/>
      <c r="L57" s="454"/>
      <c r="M57" s="454"/>
      <c r="N57" s="454"/>
      <c r="O57" s="455"/>
    </row>
    <row r="58" spans="6:15" ht="15" customHeight="1" thickBot="1" x14ac:dyDescent="0.35">
      <c r="F58" s="459"/>
      <c r="G58" s="453"/>
      <c r="H58" s="454"/>
      <c r="I58" s="454"/>
      <c r="J58" s="454"/>
      <c r="K58" s="454"/>
      <c r="L58" s="454"/>
      <c r="M58" s="454"/>
      <c r="N58" s="454"/>
      <c r="O58" s="455"/>
    </row>
    <row r="59" spans="6:15" ht="15" customHeight="1" thickBot="1" x14ac:dyDescent="0.35">
      <c r="F59" s="459"/>
      <c r="G59" s="453"/>
      <c r="H59" s="454"/>
      <c r="I59" s="454"/>
      <c r="J59" s="454"/>
      <c r="K59" s="454"/>
      <c r="L59" s="454"/>
      <c r="M59" s="454"/>
      <c r="N59" s="454"/>
      <c r="O59" s="455"/>
    </row>
    <row r="60" spans="6:15" ht="15" thickBot="1" x14ac:dyDescent="0.35">
      <c r="F60" s="459"/>
      <c r="G60" s="453"/>
      <c r="H60" s="454"/>
      <c r="I60" s="454"/>
      <c r="J60" s="454"/>
      <c r="K60" s="454"/>
      <c r="L60" s="454"/>
      <c r="M60" s="454"/>
      <c r="N60" s="454"/>
      <c r="O60" s="455"/>
    </row>
    <row r="61" spans="6:15" ht="13.5" customHeight="1" thickBot="1" x14ac:dyDescent="0.35">
      <c r="F61" s="459"/>
      <c r="G61" s="456"/>
      <c r="H61" s="457"/>
      <c r="I61" s="457"/>
      <c r="J61" s="457"/>
      <c r="K61" s="457"/>
      <c r="L61" s="457"/>
      <c r="M61" s="457"/>
      <c r="N61" s="457"/>
      <c r="O61" s="458"/>
    </row>
    <row r="62" spans="6:15" ht="15" customHeight="1" thickBot="1" x14ac:dyDescent="0.35">
      <c r="F62" s="460" t="s">
        <v>188</v>
      </c>
      <c r="G62" s="450" t="s">
        <v>335</v>
      </c>
      <c r="H62" s="451"/>
      <c r="I62" s="451"/>
      <c r="J62" s="451"/>
      <c r="K62" s="451"/>
      <c r="L62" s="451"/>
      <c r="M62" s="451"/>
      <c r="N62" s="451"/>
      <c r="O62" s="452"/>
    </row>
    <row r="63" spans="6:15" ht="15" thickBot="1" x14ac:dyDescent="0.35">
      <c r="F63" s="460"/>
      <c r="G63" s="453"/>
      <c r="H63" s="454"/>
      <c r="I63" s="454"/>
      <c r="J63" s="454"/>
      <c r="K63" s="454"/>
      <c r="L63" s="454"/>
      <c r="M63" s="454"/>
      <c r="N63" s="454"/>
      <c r="O63" s="455"/>
    </row>
    <row r="64" spans="6:15" ht="18.75" customHeight="1" thickBot="1" x14ac:dyDescent="0.35">
      <c r="F64" s="460"/>
      <c r="G64" s="453"/>
      <c r="H64" s="454"/>
      <c r="I64" s="454"/>
      <c r="J64" s="454"/>
      <c r="K64" s="454"/>
      <c r="L64" s="454"/>
      <c r="M64" s="454"/>
      <c r="N64" s="454"/>
      <c r="O64" s="455"/>
    </row>
    <row r="65" spans="6:15" s="278" customFormat="1" ht="15" thickBot="1" x14ac:dyDescent="0.35">
      <c r="F65" s="440" t="s">
        <v>336</v>
      </c>
      <c r="G65" s="441" t="s">
        <v>339</v>
      </c>
      <c r="H65" s="442"/>
      <c r="I65" s="442"/>
      <c r="J65" s="442"/>
      <c r="K65" s="442"/>
      <c r="L65" s="442"/>
      <c r="M65" s="442"/>
      <c r="N65" s="442"/>
      <c r="O65" s="443"/>
    </row>
    <row r="66" spans="6:15" s="278" customFormat="1" ht="15" thickBot="1" x14ac:dyDescent="0.35">
      <c r="F66" s="440"/>
      <c r="G66" s="444"/>
      <c r="H66" s="445"/>
      <c r="I66" s="445"/>
      <c r="J66" s="445"/>
      <c r="K66" s="445"/>
      <c r="L66" s="445"/>
      <c r="M66" s="445"/>
      <c r="N66" s="445"/>
      <c r="O66" s="446"/>
    </row>
    <row r="67" spans="6:15" s="278" customFormat="1" ht="15" thickBot="1" x14ac:dyDescent="0.35">
      <c r="F67" s="440"/>
      <c r="G67" s="447"/>
      <c r="H67" s="448"/>
      <c r="I67" s="448"/>
      <c r="J67" s="448"/>
      <c r="K67" s="448"/>
      <c r="L67" s="448"/>
      <c r="M67" s="448"/>
      <c r="N67" s="448"/>
      <c r="O67" s="449"/>
    </row>
    <row r="68" spans="6:15" s="278" customFormat="1" x14ac:dyDescent="0.3"/>
    <row r="69" spans="6:15" s="278" customFormat="1" x14ac:dyDescent="0.3"/>
    <row r="70" spans="6:15" s="278" customFormat="1" x14ac:dyDescent="0.3"/>
    <row r="71" spans="6:15" s="278" customFormat="1" x14ac:dyDescent="0.3"/>
    <row r="72" spans="6:15" s="278" customFormat="1" x14ac:dyDescent="0.3"/>
    <row r="73" spans="6:15" s="278" customFormat="1" x14ac:dyDescent="0.3"/>
    <row r="74" spans="6:15" s="278" customFormat="1" x14ac:dyDescent="0.3"/>
    <row r="75" spans="6:15" s="278" customFormat="1" x14ac:dyDescent="0.3"/>
    <row r="76" spans="6:15" s="278" customFormat="1" x14ac:dyDescent="0.3"/>
  </sheetData>
  <sheetProtection sheet="1" objects="1" scenarios="1"/>
  <mergeCells count="36">
    <mergeCell ref="G37:O41"/>
    <mergeCell ref="G62:O64"/>
    <mergeCell ref="F62:F64"/>
    <mergeCell ref="F15:O15"/>
    <mergeCell ref="F18:O18"/>
    <mergeCell ref="G16:O16"/>
    <mergeCell ref="G29:O35"/>
    <mergeCell ref="F29:F35"/>
    <mergeCell ref="G21:O28"/>
    <mergeCell ref="F21:F28"/>
    <mergeCell ref="G19:H19"/>
    <mergeCell ref="I19:O19"/>
    <mergeCell ref="G20:O20"/>
    <mergeCell ref="F36:O36"/>
    <mergeCell ref="F37:F41"/>
    <mergeCell ref="G42:O44"/>
    <mergeCell ref="G8:O9"/>
    <mergeCell ref="F8:F9"/>
    <mergeCell ref="F10:F11"/>
    <mergeCell ref="G10:O11"/>
    <mergeCell ref="F12:F13"/>
    <mergeCell ref="G12:O13"/>
    <mergeCell ref="F1:O1"/>
    <mergeCell ref="F3:O3"/>
    <mergeCell ref="G4:O4"/>
    <mergeCell ref="G5:O5"/>
    <mergeCell ref="F7:O7"/>
    <mergeCell ref="F65:F67"/>
    <mergeCell ref="G65:O67"/>
    <mergeCell ref="G54:O61"/>
    <mergeCell ref="F54:F61"/>
    <mergeCell ref="F42:F44"/>
    <mergeCell ref="G45:O48"/>
    <mergeCell ref="F45:F48"/>
    <mergeCell ref="G49:O53"/>
    <mergeCell ref="F49:F53"/>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70"/>
  <sheetViews>
    <sheetView workbookViewId="0">
      <selection activeCell="C3" sqref="C3"/>
    </sheetView>
  </sheetViews>
  <sheetFormatPr defaultRowHeight="14.4" x14ac:dyDescent="0.3"/>
  <cols>
    <col min="1" max="2" width="2.6640625" style="278" customWidth="1"/>
    <col min="3" max="3" width="73" customWidth="1"/>
    <col min="4" max="4" width="15.5546875" bestFit="1" customWidth="1"/>
    <col min="5" max="5" width="9.109375" style="278"/>
    <col min="6" max="6" width="53.5546875" customWidth="1"/>
    <col min="7" max="7" width="15.5546875" bestFit="1" customWidth="1"/>
    <col min="8" max="28" width="9.109375" style="278"/>
  </cols>
  <sheetData>
    <row r="1" spans="1:28" s="278" customFormat="1" x14ac:dyDescent="0.3"/>
    <row r="2" spans="1:28" s="278" customFormat="1" x14ac:dyDescent="0.3"/>
    <row r="3" spans="1:28" ht="18" x14ac:dyDescent="0.35">
      <c r="C3" s="304" t="s">
        <v>361</v>
      </c>
      <c r="D3" s="180"/>
      <c r="E3" s="328"/>
      <c r="F3" s="305" t="str">
        <f>C3</f>
        <v>(Tart Cherry) Defender Orchard Cost to Establish</v>
      </c>
      <c r="G3" s="180"/>
    </row>
    <row r="4" spans="1:28" ht="15.6" x14ac:dyDescent="0.3">
      <c r="C4" s="248" t="s">
        <v>0</v>
      </c>
      <c r="D4" s="236" t="s">
        <v>1</v>
      </c>
      <c r="F4" s="248" t="s">
        <v>2</v>
      </c>
      <c r="G4" s="236" t="s">
        <v>1</v>
      </c>
    </row>
    <row r="5" spans="1:28" ht="15.6" x14ac:dyDescent="0.3">
      <c r="C5" s="259" t="s">
        <v>276</v>
      </c>
      <c r="D5" s="379">
        <v>600</v>
      </c>
      <c r="F5" s="259" t="s">
        <v>80</v>
      </c>
      <c r="G5" s="379">
        <v>56.36</v>
      </c>
    </row>
    <row r="6" spans="1:28" ht="15.6" x14ac:dyDescent="0.3">
      <c r="C6" s="259" t="s">
        <v>277</v>
      </c>
      <c r="D6" s="379">
        <v>300</v>
      </c>
      <c r="F6" s="259" t="s">
        <v>260</v>
      </c>
      <c r="G6" s="379">
        <v>164.95294117647057</v>
      </c>
    </row>
    <row r="7" spans="1:28" ht="15.6" x14ac:dyDescent="0.3">
      <c r="C7" s="259" t="s">
        <v>78</v>
      </c>
      <c r="D7" s="379">
        <v>2000</v>
      </c>
      <c r="F7" s="259" t="s">
        <v>263</v>
      </c>
      <c r="G7" s="379">
        <v>66.960000000000008</v>
      </c>
    </row>
    <row r="8" spans="1:28" ht="15.6" x14ac:dyDescent="0.3">
      <c r="C8" s="259" t="s">
        <v>3</v>
      </c>
      <c r="D8" s="379">
        <v>500</v>
      </c>
      <c r="F8" s="259" t="s">
        <v>267</v>
      </c>
      <c r="G8" s="379">
        <v>40.735999999999997</v>
      </c>
    </row>
    <row r="9" spans="1:28" s="102" customFormat="1" ht="15.6" x14ac:dyDescent="0.3">
      <c r="A9" s="278"/>
      <c r="B9" s="278"/>
      <c r="C9" s="259" t="s">
        <v>327</v>
      </c>
      <c r="D9" s="379">
        <v>30</v>
      </c>
      <c r="E9" s="278"/>
      <c r="F9" s="259" t="s">
        <v>6</v>
      </c>
      <c r="G9" s="379">
        <v>338.85</v>
      </c>
      <c r="H9" s="278"/>
      <c r="I9" s="278"/>
      <c r="J9" s="278"/>
      <c r="K9" s="278"/>
      <c r="L9" s="278"/>
      <c r="M9" s="278"/>
      <c r="N9" s="278"/>
      <c r="O9" s="278"/>
      <c r="P9" s="278"/>
      <c r="Q9" s="278"/>
      <c r="R9" s="278"/>
      <c r="S9" s="278"/>
      <c r="T9" s="278"/>
      <c r="U9" s="278"/>
      <c r="V9" s="278"/>
      <c r="W9" s="278"/>
      <c r="X9" s="278"/>
      <c r="Y9" s="278"/>
      <c r="Z9" s="278"/>
      <c r="AA9" s="278"/>
      <c r="AB9" s="278"/>
    </row>
    <row r="10" spans="1:28" ht="15.6" x14ac:dyDescent="0.3">
      <c r="C10" s="259" t="s">
        <v>312</v>
      </c>
      <c r="D10" s="379">
        <f>'Chestnuts Cost to Establish'!D9</f>
        <v>200</v>
      </c>
      <c r="F10" s="259" t="s">
        <v>264</v>
      </c>
      <c r="G10" s="379">
        <v>10.220000000000001</v>
      </c>
    </row>
    <row r="11" spans="1:28" ht="15.6" x14ac:dyDescent="0.3">
      <c r="C11" s="248" t="s">
        <v>4</v>
      </c>
      <c r="D11" s="239">
        <f>SUM(D5:D10)</f>
        <v>3630</v>
      </c>
      <c r="F11" s="259" t="s">
        <v>265</v>
      </c>
      <c r="G11" s="379">
        <v>226.5</v>
      </c>
    </row>
    <row r="12" spans="1:28" ht="15.6" x14ac:dyDescent="0.3">
      <c r="C12" s="248" t="s">
        <v>5</v>
      </c>
      <c r="D12" s="239"/>
      <c r="F12" s="259" t="s">
        <v>266</v>
      </c>
      <c r="G12" s="379">
        <v>67.540000000000006</v>
      </c>
    </row>
    <row r="13" spans="1:28" ht="15.6" x14ac:dyDescent="0.3">
      <c r="C13" s="259" t="s">
        <v>256</v>
      </c>
      <c r="D13" s="379">
        <v>27.216000000000001</v>
      </c>
      <c r="F13" s="259" t="s">
        <v>327</v>
      </c>
      <c r="G13" s="379">
        <v>30</v>
      </c>
    </row>
    <row r="14" spans="1:28" ht="15.6" x14ac:dyDescent="0.3">
      <c r="C14" s="259" t="s">
        <v>257</v>
      </c>
      <c r="D14" s="379">
        <v>19.8675</v>
      </c>
      <c r="F14" s="259" t="s">
        <v>312</v>
      </c>
      <c r="G14" s="379">
        <f>D36</f>
        <v>200</v>
      </c>
    </row>
    <row r="15" spans="1:28" ht="15.6" x14ac:dyDescent="0.3">
      <c r="C15" s="259" t="s">
        <v>258</v>
      </c>
      <c r="D15" s="379">
        <v>3433.7400000000002</v>
      </c>
      <c r="F15" s="248" t="s">
        <v>4</v>
      </c>
      <c r="G15" s="239">
        <f>SUM(G5:G14)</f>
        <v>1202.1189411764706</v>
      </c>
    </row>
    <row r="16" spans="1:28" ht="15.6" x14ac:dyDescent="0.3">
      <c r="C16" s="259" t="s">
        <v>259</v>
      </c>
      <c r="D16" s="379">
        <v>203.85</v>
      </c>
      <c r="F16" s="248" t="s">
        <v>12</v>
      </c>
      <c r="G16" s="239">
        <f>SUM(G15+D37+D25+D11)</f>
        <v>10655.881823529413</v>
      </c>
    </row>
    <row r="17" spans="1:28" ht="15.6" x14ac:dyDescent="0.3">
      <c r="C17" s="259" t="s">
        <v>262</v>
      </c>
      <c r="D17" s="379">
        <v>339.75</v>
      </c>
      <c r="F17" s="278"/>
      <c r="G17" s="278"/>
    </row>
    <row r="18" spans="1:28" ht="15.6" x14ac:dyDescent="0.3">
      <c r="C18" s="259" t="s">
        <v>260</v>
      </c>
      <c r="D18" s="379">
        <v>164.95294117647057</v>
      </c>
      <c r="F18" s="278"/>
      <c r="G18" s="278"/>
    </row>
    <row r="19" spans="1:28" ht="15.6" x14ac:dyDescent="0.3">
      <c r="C19" s="259" t="s">
        <v>263</v>
      </c>
      <c r="D19" s="379">
        <v>66.960000000000008</v>
      </c>
      <c r="F19" s="278"/>
      <c r="G19" s="278"/>
    </row>
    <row r="20" spans="1:28" ht="15.6" x14ac:dyDescent="0.3">
      <c r="C20" s="259" t="s">
        <v>270</v>
      </c>
      <c r="D20" s="379">
        <v>10.220000000000001</v>
      </c>
      <c r="F20" s="278"/>
      <c r="G20" s="278"/>
    </row>
    <row r="21" spans="1:28" ht="15.6" x14ac:dyDescent="0.3">
      <c r="C21" s="259" t="s">
        <v>268</v>
      </c>
      <c r="D21" s="379">
        <v>226.5</v>
      </c>
      <c r="F21" s="278"/>
      <c r="G21" s="278"/>
    </row>
    <row r="22" spans="1:28" ht="15.6" x14ac:dyDescent="0.3">
      <c r="C22" s="259" t="s">
        <v>266</v>
      </c>
      <c r="D22" s="379">
        <v>84.425000000000011</v>
      </c>
      <c r="F22" s="278"/>
      <c r="G22" s="278"/>
    </row>
    <row r="23" spans="1:28" ht="15.6" x14ac:dyDescent="0.3">
      <c r="C23" s="259" t="s">
        <v>327</v>
      </c>
      <c r="D23" s="379">
        <v>30</v>
      </c>
      <c r="F23" s="278"/>
      <c r="G23" s="278"/>
    </row>
    <row r="24" spans="1:28" s="102" customFormat="1" ht="15.6" x14ac:dyDescent="0.3">
      <c r="A24" s="278"/>
      <c r="B24" s="278"/>
      <c r="C24" s="259" t="s">
        <v>312</v>
      </c>
      <c r="D24" s="379">
        <f>D10</f>
        <v>200</v>
      </c>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row>
    <row r="25" spans="1:28" ht="15.6" x14ac:dyDescent="0.3">
      <c r="C25" s="306" t="s">
        <v>4</v>
      </c>
      <c r="D25" s="307">
        <f>SUM(D13:D24)</f>
        <v>4807.481441176471</v>
      </c>
      <c r="F25" s="278"/>
      <c r="G25" s="278"/>
    </row>
    <row r="26" spans="1:28" ht="15.6" x14ac:dyDescent="0.3">
      <c r="C26" s="308" t="s">
        <v>9</v>
      </c>
      <c r="D26" s="240"/>
      <c r="F26" s="278"/>
      <c r="G26" s="278"/>
    </row>
    <row r="27" spans="1:28" ht="15.6" x14ac:dyDescent="0.3">
      <c r="C27" s="309" t="s">
        <v>80</v>
      </c>
      <c r="D27" s="379">
        <v>49.314999999999998</v>
      </c>
      <c r="F27" s="278"/>
      <c r="G27" s="278"/>
    </row>
    <row r="28" spans="1:28" ht="15.6" x14ac:dyDescent="0.3">
      <c r="C28" s="309" t="s">
        <v>260</v>
      </c>
      <c r="D28" s="379">
        <v>164.95294117647057</v>
      </c>
      <c r="F28" s="278"/>
      <c r="G28" s="278"/>
    </row>
    <row r="29" spans="1:28" ht="15.6" x14ac:dyDescent="0.3">
      <c r="C29" s="309" t="s">
        <v>263</v>
      </c>
      <c r="D29" s="379">
        <v>66.960000000000008</v>
      </c>
      <c r="F29" s="278"/>
      <c r="G29" s="278"/>
    </row>
    <row r="30" spans="1:28" ht="15.6" x14ac:dyDescent="0.3">
      <c r="C30" s="309" t="s">
        <v>269</v>
      </c>
      <c r="D30" s="379">
        <v>40.735999999999997</v>
      </c>
      <c r="F30" s="278"/>
      <c r="G30" s="278"/>
    </row>
    <row r="31" spans="1:28" ht="15.6" x14ac:dyDescent="0.3">
      <c r="C31" s="309" t="s">
        <v>11</v>
      </c>
      <c r="D31" s="379">
        <v>160.0575</v>
      </c>
      <c r="F31" s="278"/>
      <c r="G31" s="278"/>
    </row>
    <row r="32" spans="1:28" ht="15.6" x14ac:dyDescent="0.3">
      <c r="C32" s="309" t="s">
        <v>264</v>
      </c>
      <c r="D32" s="379">
        <v>10.220000000000001</v>
      </c>
      <c r="F32" s="278"/>
      <c r="G32" s="278"/>
    </row>
    <row r="33" spans="1:28" ht="15.6" x14ac:dyDescent="0.3">
      <c r="C33" s="309" t="s">
        <v>268</v>
      </c>
      <c r="D33" s="379">
        <v>226.5</v>
      </c>
      <c r="F33" s="278"/>
      <c r="G33" s="278"/>
    </row>
    <row r="34" spans="1:28" ht="15.6" x14ac:dyDescent="0.3">
      <c r="C34" s="309" t="s">
        <v>266</v>
      </c>
      <c r="D34" s="379">
        <v>67.540000000000006</v>
      </c>
      <c r="F34" s="278"/>
      <c r="G34" s="278"/>
    </row>
    <row r="35" spans="1:28" ht="15.6" x14ac:dyDescent="0.3">
      <c r="C35" s="259" t="s">
        <v>327</v>
      </c>
      <c r="D35" s="379">
        <v>30</v>
      </c>
      <c r="F35" s="278"/>
      <c r="G35" s="278"/>
    </row>
    <row r="36" spans="1:28" s="102" customFormat="1" ht="15.6" x14ac:dyDescent="0.3">
      <c r="A36" s="278"/>
      <c r="B36" s="278"/>
      <c r="C36" s="259" t="s">
        <v>312</v>
      </c>
      <c r="D36" s="379">
        <f>D24</f>
        <v>200</v>
      </c>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row>
    <row r="37" spans="1:28" ht="15.6" x14ac:dyDescent="0.3">
      <c r="C37" s="308" t="s">
        <v>4</v>
      </c>
      <c r="D37" s="240">
        <f>SUM(D27:D36)</f>
        <v>1016.2814411764706</v>
      </c>
      <c r="F37" s="278"/>
      <c r="G37" s="278"/>
    </row>
    <row r="38" spans="1:28" x14ac:dyDescent="0.3">
      <c r="C38" s="278"/>
      <c r="D38" s="278"/>
      <c r="F38" s="278"/>
      <c r="G38" s="278"/>
    </row>
    <row r="39" spans="1:28" x14ac:dyDescent="0.3">
      <c r="C39" s="278"/>
      <c r="D39" s="278"/>
      <c r="F39" s="278"/>
      <c r="G39" s="278"/>
    </row>
    <row r="40" spans="1:28" x14ac:dyDescent="0.3">
      <c r="C40" s="278"/>
      <c r="D40" s="278"/>
      <c r="F40" s="278"/>
      <c r="G40" s="278"/>
    </row>
    <row r="41" spans="1:28" x14ac:dyDescent="0.3">
      <c r="C41" s="278"/>
      <c r="D41" s="278"/>
      <c r="F41" s="278"/>
      <c r="G41" s="278"/>
    </row>
    <row r="42" spans="1:28" x14ac:dyDescent="0.3">
      <c r="C42" s="278"/>
      <c r="D42" s="278"/>
      <c r="F42" s="278"/>
      <c r="G42" s="278"/>
    </row>
    <row r="43" spans="1:28" x14ac:dyDescent="0.3">
      <c r="C43" s="278"/>
      <c r="D43" s="278"/>
      <c r="F43" s="278"/>
      <c r="G43" s="278"/>
    </row>
    <row r="44" spans="1:28" x14ac:dyDescent="0.3">
      <c r="C44" s="278"/>
      <c r="D44" s="278"/>
      <c r="F44" s="278"/>
      <c r="G44" s="278"/>
    </row>
    <row r="45" spans="1:28" x14ac:dyDescent="0.3">
      <c r="C45" s="278"/>
      <c r="D45" s="278"/>
      <c r="F45" s="278"/>
      <c r="G45" s="278"/>
    </row>
    <row r="46" spans="1:28" x14ac:dyDescent="0.3">
      <c r="C46" s="278"/>
      <c r="D46" s="278"/>
      <c r="F46" s="278"/>
      <c r="G46" s="278"/>
    </row>
    <row r="47" spans="1:28" x14ac:dyDescent="0.3">
      <c r="C47" s="278"/>
      <c r="D47" s="278"/>
      <c r="F47" s="278"/>
      <c r="G47" s="278"/>
    </row>
    <row r="48" spans="1:28" x14ac:dyDescent="0.3">
      <c r="C48" s="278"/>
      <c r="D48" s="278"/>
      <c r="F48" s="278"/>
      <c r="G48" s="278"/>
    </row>
    <row r="49" spans="3:7" x14ac:dyDescent="0.3">
      <c r="C49" s="278"/>
      <c r="D49" s="278"/>
      <c r="F49" s="278"/>
      <c r="G49" s="278"/>
    </row>
    <row r="50" spans="3:7" x14ac:dyDescent="0.3">
      <c r="C50" s="278"/>
      <c r="D50" s="278"/>
      <c r="F50" s="278"/>
      <c r="G50" s="278"/>
    </row>
    <row r="51" spans="3:7" x14ac:dyDescent="0.3">
      <c r="C51" s="278"/>
      <c r="D51" s="278"/>
      <c r="F51" s="278"/>
      <c r="G51" s="278"/>
    </row>
    <row r="52" spans="3:7" x14ac:dyDescent="0.3">
      <c r="C52" s="278"/>
      <c r="D52" s="278"/>
      <c r="F52" s="278"/>
      <c r="G52" s="278"/>
    </row>
    <row r="53" spans="3:7" x14ac:dyDescent="0.3">
      <c r="C53" s="278"/>
      <c r="D53" s="278"/>
      <c r="F53" s="278"/>
      <c r="G53" s="278"/>
    </row>
    <row r="54" spans="3:7" x14ac:dyDescent="0.3">
      <c r="C54" s="278"/>
      <c r="D54" s="278"/>
      <c r="F54" s="278"/>
      <c r="G54" s="278"/>
    </row>
    <row r="55" spans="3:7" x14ac:dyDescent="0.3">
      <c r="C55" s="278"/>
      <c r="D55" s="278"/>
      <c r="F55" s="278"/>
      <c r="G55" s="278"/>
    </row>
    <row r="56" spans="3:7" x14ac:dyDescent="0.3">
      <c r="C56" s="278"/>
      <c r="D56" s="278"/>
      <c r="F56" s="278"/>
      <c r="G56" s="278"/>
    </row>
    <row r="57" spans="3:7" x14ac:dyDescent="0.3">
      <c r="C57" s="278"/>
      <c r="D57" s="278"/>
      <c r="F57" s="278"/>
      <c r="G57" s="278"/>
    </row>
    <row r="58" spans="3:7" x14ac:dyDescent="0.3">
      <c r="C58" s="278"/>
      <c r="D58" s="278"/>
      <c r="F58" s="278"/>
      <c r="G58" s="278"/>
    </row>
    <row r="59" spans="3:7" x14ac:dyDescent="0.3">
      <c r="C59" s="278"/>
      <c r="D59" s="278"/>
      <c r="F59" s="278"/>
      <c r="G59" s="278"/>
    </row>
    <row r="60" spans="3:7" x14ac:dyDescent="0.3">
      <c r="C60" s="278"/>
      <c r="D60" s="278"/>
      <c r="F60" s="278"/>
      <c r="G60" s="278"/>
    </row>
    <row r="61" spans="3:7" x14ac:dyDescent="0.3">
      <c r="C61" s="278"/>
      <c r="D61" s="278"/>
      <c r="F61" s="278"/>
      <c r="G61" s="278"/>
    </row>
    <row r="62" spans="3:7" x14ac:dyDescent="0.3">
      <c r="C62" s="278"/>
      <c r="D62" s="278"/>
      <c r="F62" s="278"/>
      <c r="G62" s="278"/>
    </row>
    <row r="63" spans="3:7" x14ac:dyDescent="0.3">
      <c r="C63" s="278"/>
      <c r="D63" s="278"/>
      <c r="F63" s="278"/>
      <c r="G63" s="278"/>
    </row>
    <row r="64" spans="3:7" x14ac:dyDescent="0.3">
      <c r="C64" s="278"/>
      <c r="D64" s="278"/>
      <c r="F64" s="278"/>
      <c r="G64" s="278"/>
    </row>
    <row r="65" spans="3:6" x14ac:dyDescent="0.3">
      <c r="C65" s="278"/>
      <c r="D65" s="278"/>
      <c r="F65" s="278"/>
    </row>
    <row r="66" spans="3:6" x14ac:dyDescent="0.3">
      <c r="C66" s="278"/>
      <c r="D66" s="278"/>
      <c r="F66" s="278"/>
    </row>
    <row r="67" spans="3:6" x14ac:dyDescent="0.3">
      <c r="C67" s="278"/>
      <c r="D67" s="278"/>
      <c r="F67" s="278"/>
    </row>
    <row r="68" spans="3:6" x14ac:dyDescent="0.3">
      <c r="C68" s="278"/>
      <c r="D68" s="278"/>
      <c r="F68" s="278"/>
    </row>
    <row r="69" spans="3:6" x14ac:dyDescent="0.3">
      <c r="C69" s="278"/>
      <c r="D69" s="278"/>
      <c r="F69" s="278"/>
    </row>
    <row r="70" spans="3:6" x14ac:dyDescent="0.3">
      <c r="C70" s="278"/>
      <c r="D70" s="278"/>
      <c r="F70" s="278"/>
    </row>
  </sheetData>
  <sheetProtection sheet="1" objects="1" scenarios="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L99"/>
  <sheetViews>
    <sheetView zoomScaleNormal="100" workbookViewId="0">
      <pane xSplit="4" ySplit="5" topLeftCell="E6" activePane="bottomRight" state="frozen"/>
      <selection pane="topRight" activeCell="E1" sqref="E1"/>
      <selection pane="bottomLeft" activeCell="A6" sqref="A6"/>
      <selection pane="bottomRight" activeCell="E2" sqref="E2:L2"/>
    </sheetView>
  </sheetViews>
  <sheetFormatPr defaultRowHeight="14.4" x14ac:dyDescent="0.3"/>
  <cols>
    <col min="1" max="4" width="1.6640625" style="278" customWidth="1"/>
    <col min="5" max="5" width="50.5546875" customWidth="1"/>
    <col min="6" max="6" width="12.44140625" customWidth="1"/>
    <col min="7" max="7" width="10.5546875" customWidth="1"/>
    <col min="8" max="9" width="10.88671875" customWidth="1"/>
    <col min="10" max="10" width="11.88671875" customWidth="1"/>
    <col min="11" max="12" width="11.109375" customWidth="1"/>
    <col min="13" max="15" width="9.109375" hidden="1" customWidth="1"/>
    <col min="16" max="38" width="9.109375" style="278"/>
  </cols>
  <sheetData>
    <row r="1" spans="1:38" s="278" customFormat="1" ht="15.6" x14ac:dyDescent="0.3">
      <c r="D1" s="281"/>
      <c r="E1" s="281"/>
      <c r="F1" s="281"/>
      <c r="G1" s="281"/>
      <c r="H1" s="281"/>
      <c r="I1" s="281"/>
      <c r="J1" s="281"/>
      <c r="K1" s="281"/>
      <c r="L1" s="281"/>
      <c r="M1" s="281"/>
      <c r="N1" s="281"/>
      <c r="O1" s="281"/>
      <c r="P1" s="281"/>
      <c r="Q1" s="281"/>
      <c r="R1" s="281"/>
      <c r="S1" s="281"/>
    </row>
    <row r="2" spans="1:38" ht="18" x14ac:dyDescent="0.35">
      <c r="D2" s="281"/>
      <c r="E2" s="575" t="s">
        <v>362</v>
      </c>
      <c r="F2" s="576"/>
      <c r="G2" s="576"/>
      <c r="H2" s="576"/>
      <c r="I2" s="576"/>
      <c r="J2" s="576"/>
      <c r="K2" s="576"/>
      <c r="L2" s="577"/>
      <c r="M2" s="4"/>
      <c r="N2" s="4"/>
      <c r="O2" s="4"/>
      <c r="P2" s="281"/>
      <c r="Q2" s="281"/>
      <c r="R2" s="281"/>
      <c r="S2" s="281"/>
    </row>
    <row r="3" spans="1:38" s="102" customFormat="1" ht="21" x14ac:dyDescent="0.4">
      <c r="A3" s="278"/>
      <c r="B3" s="278"/>
      <c r="C3" s="278"/>
      <c r="D3" s="281"/>
      <c r="E3" s="572"/>
      <c r="F3" s="573"/>
      <c r="G3" s="573"/>
      <c r="H3" s="573"/>
      <c r="I3" s="573"/>
      <c r="J3" s="573"/>
      <c r="K3" s="573"/>
      <c r="L3" s="574"/>
      <c r="M3" s="4"/>
      <c r="N3" s="4"/>
      <c r="O3" s="4"/>
      <c r="P3" s="281"/>
      <c r="Q3" s="281"/>
      <c r="R3" s="281"/>
      <c r="S3" s="281"/>
      <c r="T3" s="278"/>
      <c r="U3" s="278"/>
      <c r="V3" s="278"/>
      <c r="W3" s="278"/>
      <c r="X3" s="278"/>
      <c r="Y3" s="278"/>
      <c r="Z3" s="278"/>
      <c r="AA3" s="278"/>
      <c r="AB3" s="278"/>
      <c r="AC3" s="278"/>
      <c r="AD3" s="278"/>
      <c r="AE3" s="278"/>
      <c r="AF3" s="278"/>
      <c r="AG3" s="278"/>
      <c r="AH3" s="278"/>
      <c r="AI3" s="278"/>
      <c r="AJ3" s="278"/>
      <c r="AK3" s="278"/>
      <c r="AL3" s="278"/>
    </row>
    <row r="4" spans="1:38" ht="15.6" x14ac:dyDescent="0.3">
      <c r="D4" s="281"/>
      <c r="E4" s="242"/>
      <c r="F4" s="243" t="s">
        <v>14</v>
      </c>
      <c r="G4" s="243" t="s">
        <v>15</v>
      </c>
      <c r="H4" s="243" t="s">
        <v>16</v>
      </c>
      <c r="I4" s="570" t="s">
        <v>105</v>
      </c>
      <c r="J4" s="571"/>
      <c r="K4" s="570" t="s">
        <v>4</v>
      </c>
      <c r="L4" s="571"/>
      <c r="M4" s="4"/>
      <c r="N4" s="4"/>
      <c r="O4" s="4"/>
      <c r="P4" s="281"/>
      <c r="Q4" s="281"/>
      <c r="R4" s="281"/>
      <c r="S4" s="281"/>
    </row>
    <row r="5" spans="1:38" ht="30.6" x14ac:dyDescent="0.3">
      <c r="D5" s="281"/>
      <c r="E5" s="246" t="s">
        <v>19</v>
      </c>
      <c r="F5" s="247" t="s">
        <v>20</v>
      </c>
      <c r="G5" s="247" t="s">
        <v>21</v>
      </c>
      <c r="H5" s="247" t="s">
        <v>22</v>
      </c>
      <c r="I5" s="247" t="s">
        <v>21</v>
      </c>
      <c r="J5" s="247" t="s">
        <v>23</v>
      </c>
      <c r="K5" s="247" t="s">
        <v>22</v>
      </c>
      <c r="L5" s="247" t="s">
        <v>24</v>
      </c>
      <c r="M5" s="15"/>
      <c r="N5" s="4"/>
      <c r="O5" s="4"/>
      <c r="P5" s="281"/>
      <c r="Q5" s="281"/>
      <c r="R5" s="281"/>
      <c r="S5" s="281"/>
    </row>
    <row r="6" spans="1:38" ht="15.6" x14ac:dyDescent="0.3">
      <c r="D6" s="281"/>
      <c r="E6" s="398" t="s">
        <v>80</v>
      </c>
      <c r="F6" s="432"/>
      <c r="G6" s="432"/>
      <c r="H6" s="432"/>
      <c r="I6" s="432"/>
      <c r="J6" s="432"/>
      <c r="K6" s="249"/>
      <c r="L6" s="250"/>
      <c r="M6" s="4"/>
      <c r="N6" s="4"/>
      <c r="O6" s="4"/>
      <c r="P6" s="281"/>
      <c r="Q6" s="281"/>
      <c r="R6" s="281"/>
      <c r="S6" s="281"/>
    </row>
    <row r="7" spans="1:38" ht="15.6" x14ac:dyDescent="0.3">
      <c r="D7" s="281"/>
      <c r="E7" s="381" t="s">
        <v>280</v>
      </c>
      <c r="F7" s="382">
        <v>6</v>
      </c>
      <c r="G7" s="385">
        <v>14.0875</v>
      </c>
      <c r="H7" s="384"/>
      <c r="I7" s="385">
        <v>0.1</v>
      </c>
      <c r="J7" s="384"/>
      <c r="K7" s="251">
        <f>(F7*G7)+(F7*I7)</f>
        <v>85.125</v>
      </c>
      <c r="L7" s="251">
        <f>(F7*J7)</f>
        <v>0</v>
      </c>
      <c r="M7" s="4" t="s">
        <v>82</v>
      </c>
      <c r="N7" s="4"/>
      <c r="O7" s="4"/>
      <c r="P7" s="281"/>
      <c r="Q7" s="281"/>
      <c r="R7" s="281"/>
      <c r="S7" s="281"/>
    </row>
    <row r="8" spans="1:38" ht="15.6" x14ac:dyDescent="0.3">
      <c r="D8" s="281"/>
      <c r="E8" s="386" t="s">
        <v>28</v>
      </c>
      <c r="F8" s="387">
        <v>1</v>
      </c>
      <c r="G8" s="399">
        <v>14.0875</v>
      </c>
      <c r="H8" s="389"/>
      <c r="I8" s="389">
        <f>'Defender Machinery Cost'!M18+'Defender Machinery Cost'!I18</f>
        <v>21.082874639423078</v>
      </c>
      <c r="J8" s="389">
        <f>'Defender Machinery Cost'!H18</f>
        <v>12.183432823773412</v>
      </c>
      <c r="K8" s="252">
        <f>(F8*G8)+(F8*I8)</f>
        <v>35.170374639423081</v>
      </c>
      <c r="L8" s="252">
        <f>(F8*J8)</f>
        <v>12.183432823773412</v>
      </c>
      <c r="M8" s="4" t="s">
        <v>83</v>
      </c>
      <c r="N8" s="4"/>
      <c r="O8" s="4"/>
      <c r="P8" s="281"/>
      <c r="Q8" s="281"/>
      <c r="R8" s="281"/>
      <c r="S8" s="281"/>
    </row>
    <row r="9" spans="1:38" ht="15.6" x14ac:dyDescent="0.3">
      <c r="D9" s="281"/>
      <c r="E9" s="386" t="s">
        <v>30</v>
      </c>
      <c r="F9" s="387">
        <v>1</v>
      </c>
      <c r="G9" s="389"/>
      <c r="H9" s="389"/>
      <c r="I9" s="389">
        <f>'Defender Machinery Cost'!M25+'Defender Machinery Cost'!I25</f>
        <v>4.4032333333333327</v>
      </c>
      <c r="J9" s="389">
        <f>'Defender Machinery Cost'!H25</f>
        <v>5.5879028450650852</v>
      </c>
      <c r="K9" s="252">
        <f>(F9*G9)+(F9*I9)</f>
        <v>4.4032333333333327</v>
      </c>
      <c r="L9" s="252">
        <f>(F9*J9)</f>
        <v>5.5879028450650852</v>
      </c>
      <c r="M9" s="4" t="s">
        <v>84</v>
      </c>
      <c r="N9" s="4"/>
      <c r="O9" s="4"/>
      <c r="P9" s="281"/>
      <c r="Q9" s="281"/>
      <c r="R9" s="281"/>
      <c r="S9" s="281"/>
    </row>
    <row r="10" spans="1:38" ht="15.6" x14ac:dyDescent="0.3">
      <c r="D10" s="281"/>
      <c r="E10" s="406" t="s">
        <v>278</v>
      </c>
      <c r="F10" s="387">
        <v>0.15</v>
      </c>
      <c r="G10" s="399">
        <v>14.0875</v>
      </c>
      <c r="H10" s="389"/>
      <c r="I10" s="389">
        <f>'Defender Cost Per Acre'!I8</f>
        <v>21.082874639423078</v>
      </c>
      <c r="J10" s="389">
        <f>J8</f>
        <v>12.183432823773412</v>
      </c>
      <c r="K10" s="252">
        <f>(F10*G10)+(F10*I10)</f>
        <v>5.2755561959134614</v>
      </c>
      <c r="L10" s="252">
        <f>(F10*J10)</f>
        <v>1.8275149235660118</v>
      </c>
      <c r="M10" s="4" t="s">
        <v>86</v>
      </c>
      <c r="N10" s="4"/>
      <c r="O10" s="4"/>
      <c r="P10" s="281"/>
      <c r="Q10" s="281"/>
      <c r="R10" s="281"/>
      <c r="S10" s="281"/>
    </row>
    <row r="11" spans="1:38" ht="15.6" x14ac:dyDescent="0.3">
      <c r="D11" s="281"/>
      <c r="E11" s="406" t="s">
        <v>279</v>
      </c>
      <c r="F11" s="391">
        <v>0.15</v>
      </c>
      <c r="G11" s="393"/>
      <c r="H11" s="393"/>
      <c r="I11" s="393">
        <f>'Defender Machinery Cost'!M27+'Defender Machinery Cost'!I27</f>
        <v>5.5963249999999993</v>
      </c>
      <c r="J11" s="407">
        <f>'Defender Machinery Cost'!H27</f>
        <v>10.075506522253272</v>
      </c>
      <c r="K11" s="252">
        <f>(F11*G11)+(F11*I11)</f>
        <v>0.83944874999999985</v>
      </c>
      <c r="L11" s="252">
        <f>(F11*J11)</f>
        <v>1.5113259783379909</v>
      </c>
      <c r="M11" s="4"/>
      <c r="N11" s="4"/>
      <c r="O11" s="4"/>
      <c r="P11" s="281"/>
      <c r="Q11" s="281"/>
      <c r="R11" s="281"/>
      <c r="S11" s="281"/>
    </row>
    <row r="12" spans="1:38" ht="15.6" x14ac:dyDescent="0.3">
      <c r="D12" s="281"/>
      <c r="E12" s="394" t="s">
        <v>4</v>
      </c>
      <c r="F12" s="395"/>
      <c r="G12" s="396"/>
      <c r="H12" s="396"/>
      <c r="I12" s="396"/>
      <c r="J12" s="397"/>
      <c r="K12" s="256">
        <f>SUM(K7:K9)</f>
        <v>124.69860797275641</v>
      </c>
      <c r="L12" s="255">
        <f>SUM(L7:L9)</f>
        <v>17.771335668838496</v>
      </c>
      <c r="M12" s="4"/>
      <c r="N12" s="4"/>
      <c r="O12" s="4"/>
      <c r="P12" s="281"/>
      <c r="Q12" s="281"/>
      <c r="R12" s="281"/>
      <c r="S12" s="281"/>
    </row>
    <row r="13" spans="1:38" ht="15.6" x14ac:dyDescent="0.3">
      <c r="D13" s="281"/>
      <c r="E13" s="398" t="s">
        <v>267</v>
      </c>
      <c r="F13" s="395"/>
      <c r="G13" s="396"/>
      <c r="H13" s="396"/>
      <c r="I13" s="396"/>
      <c r="J13" s="396"/>
      <c r="K13" s="254"/>
      <c r="L13" s="255"/>
      <c r="M13" s="4"/>
      <c r="N13" s="4"/>
      <c r="O13" s="4"/>
      <c r="P13" s="281"/>
      <c r="Q13" s="281"/>
      <c r="R13" s="281"/>
      <c r="S13" s="281"/>
    </row>
    <row r="14" spans="1:38" ht="15.6" x14ac:dyDescent="0.3">
      <c r="D14" s="281"/>
      <c r="E14" s="381" t="s">
        <v>33</v>
      </c>
      <c r="F14" s="382">
        <v>0.8</v>
      </c>
      <c r="G14" s="385">
        <v>14.0875</v>
      </c>
      <c r="H14" s="384"/>
      <c r="I14" s="384">
        <f>'Defender Machinery Cost'!M19+'Defender Machinery Cost'!I19</f>
        <v>15.177194999999999</v>
      </c>
      <c r="J14" s="384">
        <f>'Defender Machinery Cost'!H19</f>
        <v>8.0270372916653354</v>
      </c>
      <c r="K14" s="251">
        <f>(F14*G14)+(F14*I14)</f>
        <v>23.411756000000004</v>
      </c>
      <c r="L14" s="257">
        <f>(F14*J14)</f>
        <v>6.4216298333322683</v>
      </c>
      <c r="M14" s="4"/>
      <c r="N14" s="4"/>
      <c r="O14" s="4"/>
      <c r="P14" s="281"/>
      <c r="Q14" s="281"/>
      <c r="R14" s="281"/>
      <c r="S14" s="281"/>
    </row>
    <row r="15" spans="1:38" ht="15.6" x14ac:dyDescent="0.3">
      <c r="D15" s="281"/>
      <c r="E15" s="390" t="s">
        <v>34</v>
      </c>
      <c r="F15" s="391">
        <v>0.8</v>
      </c>
      <c r="G15" s="393"/>
      <c r="H15" s="393"/>
      <c r="I15" s="393">
        <f>'Defender Machinery Cost'!M24+'Defender Machinery Cost'!I24</f>
        <v>3.9092404255319146</v>
      </c>
      <c r="J15" s="393">
        <f>'Defender Machinery Cost'!H24</f>
        <v>12.64734390542054</v>
      </c>
      <c r="K15" s="252">
        <f>(F15*G15)+(F15*I15)</f>
        <v>3.1273923404255317</v>
      </c>
      <c r="L15" s="258">
        <f>(F15*J15)</f>
        <v>10.117875124336432</v>
      </c>
      <c r="M15" s="4"/>
      <c r="N15" s="4"/>
      <c r="O15" s="4"/>
      <c r="P15" s="281"/>
      <c r="Q15" s="281"/>
      <c r="R15" s="281"/>
      <c r="S15" s="281"/>
    </row>
    <row r="16" spans="1:38" ht="15.6" x14ac:dyDescent="0.3">
      <c r="D16" s="281"/>
      <c r="E16" s="394" t="s">
        <v>4</v>
      </c>
      <c r="F16" s="395"/>
      <c r="G16" s="396"/>
      <c r="H16" s="396"/>
      <c r="I16" s="396"/>
      <c r="J16" s="396"/>
      <c r="K16" s="256">
        <f>SUM(K14:K15)</f>
        <v>26.539148340425534</v>
      </c>
      <c r="L16" s="255">
        <f>SUM(L14:L15)</f>
        <v>16.539504957668701</v>
      </c>
      <c r="M16" s="4"/>
      <c r="N16" s="4"/>
      <c r="O16" s="4"/>
      <c r="P16" s="281"/>
      <c r="Q16" s="281"/>
      <c r="R16" s="281"/>
      <c r="S16" s="281"/>
    </row>
    <row r="17" spans="4:19" ht="15.6" x14ac:dyDescent="0.3">
      <c r="D17" s="281"/>
      <c r="E17" s="398" t="s">
        <v>272</v>
      </c>
      <c r="F17" s="395"/>
      <c r="G17" s="396"/>
      <c r="H17" s="396"/>
      <c r="I17" s="396"/>
      <c r="J17" s="396"/>
      <c r="K17" s="254"/>
      <c r="L17" s="255"/>
      <c r="M17" s="4"/>
      <c r="N17" s="4"/>
      <c r="O17" s="4"/>
      <c r="P17" s="281"/>
      <c r="Q17" s="281"/>
      <c r="R17" s="281"/>
      <c r="S17" s="281"/>
    </row>
    <row r="18" spans="4:19" ht="15.6" x14ac:dyDescent="0.3">
      <c r="D18" s="281"/>
      <c r="E18" s="381" t="s">
        <v>36</v>
      </c>
      <c r="F18" s="382">
        <v>1</v>
      </c>
      <c r="G18" s="385">
        <v>26.486000000000001</v>
      </c>
      <c r="H18" s="384"/>
      <c r="I18" s="384">
        <f>I8</f>
        <v>21.082874639423078</v>
      </c>
      <c r="J18" s="384">
        <f>J8</f>
        <v>12.183432823773412</v>
      </c>
      <c r="K18" s="251">
        <f>(F18*G18)+(F18*I18)</f>
        <v>47.568874639423079</v>
      </c>
      <c r="L18" s="251">
        <f>(F18*J18)</f>
        <v>12.183432823773412</v>
      </c>
      <c r="M18" s="4" t="s">
        <v>88</v>
      </c>
      <c r="N18" s="4"/>
      <c r="O18" s="4"/>
      <c r="P18" s="281"/>
      <c r="Q18" s="281"/>
      <c r="R18" s="281"/>
      <c r="S18" s="281"/>
    </row>
    <row r="19" spans="4:19" ht="15.6" x14ac:dyDescent="0.3">
      <c r="D19" s="281"/>
      <c r="E19" s="386" t="s">
        <v>37</v>
      </c>
      <c r="F19" s="387">
        <v>1</v>
      </c>
      <c r="G19" s="389"/>
      <c r="H19" s="389"/>
      <c r="I19" s="389">
        <f>'Defender Machinery Cost'!M22+'Defender Machinery Cost'!I22</f>
        <v>9.7473167832167835</v>
      </c>
      <c r="J19" s="389">
        <f>'Defender Machinery Cost'!H22</f>
        <v>12.649268698465464</v>
      </c>
      <c r="K19" s="252">
        <f>(F19*G19)+(F19*I19)</f>
        <v>9.7473167832167835</v>
      </c>
      <c r="L19" s="252">
        <f>(F19*J19)</f>
        <v>12.649268698465464</v>
      </c>
      <c r="M19" s="4" t="s">
        <v>89</v>
      </c>
      <c r="N19" s="4"/>
      <c r="O19" s="4"/>
      <c r="P19" s="281"/>
      <c r="Q19" s="281"/>
      <c r="R19" s="281"/>
      <c r="S19" s="281"/>
    </row>
    <row r="20" spans="4:19" ht="15.6" x14ac:dyDescent="0.3">
      <c r="D20" s="281"/>
      <c r="E20" s="386" t="s">
        <v>38</v>
      </c>
      <c r="F20" s="400"/>
      <c r="G20" s="389"/>
      <c r="H20" s="399">
        <v>104.5</v>
      </c>
      <c r="I20" s="389"/>
      <c r="J20" s="389"/>
      <c r="K20" s="252">
        <f>H20</f>
        <v>104.5</v>
      </c>
      <c r="L20" s="252">
        <f>(F20*J20)</f>
        <v>0</v>
      </c>
      <c r="M20" s="4" t="s">
        <v>91</v>
      </c>
      <c r="N20" s="4"/>
      <c r="O20" s="4"/>
      <c r="P20" s="281"/>
      <c r="Q20" s="281"/>
      <c r="R20" s="281"/>
      <c r="S20" s="281"/>
    </row>
    <row r="21" spans="4:19" ht="15.6" x14ac:dyDescent="0.3">
      <c r="D21" s="281"/>
      <c r="E21" s="386" t="s">
        <v>39</v>
      </c>
      <c r="F21" s="400"/>
      <c r="G21" s="389"/>
      <c r="H21" s="399">
        <v>175.32500000000002</v>
      </c>
      <c r="I21" s="389"/>
      <c r="J21" s="389"/>
      <c r="K21" s="252">
        <f>H21</f>
        <v>175.32500000000002</v>
      </c>
      <c r="L21" s="252">
        <f>(F21*J21)</f>
        <v>0</v>
      </c>
      <c r="M21" s="4"/>
      <c r="N21" s="4"/>
      <c r="O21" s="4"/>
      <c r="P21" s="281"/>
      <c r="Q21" s="281"/>
      <c r="R21" s="281"/>
      <c r="S21" s="281"/>
    </row>
    <row r="22" spans="4:19" ht="15.6" x14ac:dyDescent="0.3">
      <c r="D22" s="281"/>
      <c r="E22" s="390" t="s">
        <v>40</v>
      </c>
      <c r="F22" s="401"/>
      <c r="G22" s="393"/>
      <c r="H22" s="402">
        <v>12.9</v>
      </c>
      <c r="I22" s="393"/>
      <c r="J22" s="393"/>
      <c r="K22" s="252">
        <f>H22</f>
        <v>12.9</v>
      </c>
      <c r="L22" s="252">
        <f>(F22*J22)</f>
        <v>0</v>
      </c>
      <c r="M22" s="4"/>
      <c r="N22" s="4"/>
      <c r="O22" s="4"/>
      <c r="P22" s="281"/>
      <c r="Q22" s="281"/>
      <c r="R22" s="281"/>
      <c r="S22" s="281"/>
    </row>
    <row r="23" spans="4:19" ht="15.6" x14ac:dyDescent="0.3">
      <c r="D23" s="281"/>
      <c r="E23" s="394" t="s">
        <v>4</v>
      </c>
      <c r="F23" s="395"/>
      <c r="G23" s="396"/>
      <c r="H23" s="396"/>
      <c r="I23" s="396"/>
      <c r="J23" s="396"/>
      <c r="K23" s="256">
        <f>SUM(K18:K22)</f>
        <v>350.04119142263983</v>
      </c>
      <c r="L23" s="255">
        <f>SUM(L18:L22)</f>
        <v>24.832701522238878</v>
      </c>
      <c r="M23" s="4"/>
      <c r="N23" s="4"/>
      <c r="O23" s="4"/>
      <c r="P23" s="281"/>
      <c r="Q23" s="281"/>
      <c r="R23" s="281"/>
      <c r="S23" s="281"/>
    </row>
    <row r="24" spans="4:19" ht="15.6" x14ac:dyDescent="0.3">
      <c r="D24" s="281"/>
      <c r="E24" s="398" t="s">
        <v>41</v>
      </c>
      <c r="F24" s="395"/>
      <c r="G24" s="396"/>
      <c r="H24" s="396"/>
      <c r="I24" s="396"/>
      <c r="J24" s="396"/>
      <c r="K24" s="254"/>
      <c r="L24" s="255"/>
      <c r="M24" s="4"/>
      <c r="N24" s="4"/>
      <c r="O24" s="4"/>
      <c r="P24" s="281"/>
      <c r="Q24" s="281"/>
      <c r="R24" s="281"/>
      <c r="S24" s="281"/>
    </row>
    <row r="25" spans="4:19" ht="15.6" x14ac:dyDescent="0.3">
      <c r="D25" s="281"/>
      <c r="E25" s="403" t="s">
        <v>36</v>
      </c>
      <c r="F25" s="387">
        <v>0.3125</v>
      </c>
      <c r="G25" s="385">
        <v>14.0875</v>
      </c>
      <c r="H25" s="384"/>
      <c r="I25" s="384">
        <f>I18</f>
        <v>21.082874639423078</v>
      </c>
      <c r="J25" s="384">
        <f>J18</f>
        <v>12.183432823773412</v>
      </c>
      <c r="K25" s="251">
        <f>(F25*G25)+(F25*J25)</f>
        <v>8.2096665074291906</v>
      </c>
      <c r="L25" s="251">
        <f>(F25*J25)</f>
        <v>3.8073227574291915</v>
      </c>
      <c r="M25" s="4" t="s">
        <v>94</v>
      </c>
      <c r="N25" s="4"/>
      <c r="O25" s="4"/>
      <c r="P25" s="281"/>
      <c r="Q25" s="281"/>
      <c r="R25" s="281"/>
      <c r="S25" s="281"/>
    </row>
    <row r="26" spans="4:19" ht="15.6" x14ac:dyDescent="0.3">
      <c r="D26" s="281"/>
      <c r="E26" s="406" t="s">
        <v>37</v>
      </c>
      <c r="F26" s="387">
        <v>0.3125</v>
      </c>
      <c r="G26" s="389"/>
      <c r="H26" s="389"/>
      <c r="I26" s="389">
        <f>I19</f>
        <v>9.7473167832167835</v>
      </c>
      <c r="J26" s="389">
        <f>J19</f>
        <v>12.649268698465464</v>
      </c>
      <c r="K26" s="252">
        <f>(F26*G26)+(F26*I26)</f>
        <v>3.0460364947552447</v>
      </c>
      <c r="L26" s="252">
        <f>(F26*J26)</f>
        <v>3.9528964682704575</v>
      </c>
      <c r="M26" s="4"/>
      <c r="N26" s="4"/>
      <c r="O26" s="4"/>
      <c r="P26" s="281"/>
      <c r="Q26" s="281"/>
      <c r="R26" s="281"/>
      <c r="S26" s="281"/>
    </row>
    <row r="27" spans="4:19" ht="15.6" x14ac:dyDescent="0.3">
      <c r="D27" s="281"/>
      <c r="E27" s="408" t="s">
        <v>38</v>
      </c>
      <c r="F27" s="401"/>
      <c r="G27" s="393"/>
      <c r="H27" s="402">
        <v>0.5</v>
      </c>
      <c r="I27" s="393"/>
      <c r="J27" s="393"/>
      <c r="K27" s="253">
        <f>H27</f>
        <v>0.5</v>
      </c>
      <c r="L27" s="253">
        <f>(F27*J27)</f>
        <v>0</v>
      </c>
      <c r="M27" s="4"/>
      <c r="N27" s="4"/>
      <c r="O27" s="4"/>
      <c r="P27" s="281"/>
      <c r="Q27" s="281"/>
      <c r="R27" s="281"/>
      <c r="S27" s="281"/>
    </row>
    <row r="28" spans="4:19" ht="15.6" x14ac:dyDescent="0.3">
      <c r="D28" s="281"/>
      <c r="E28" s="398" t="s">
        <v>4</v>
      </c>
      <c r="F28" s="410"/>
      <c r="G28" s="396"/>
      <c r="H28" s="396"/>
      <c r="I28" s="396"/>
      <c r="J28" s="397"/>
      <c r="K28" s="256">
        <f>SUM(K25:K27)</f>
        <v>11.755703002184436</v>
      </c>
      <c r="L28" s="256">
        <f>SUM(L25:L27)</f>
        <v>7.7602192256996485</v>
      </c>
      <c r="M28" s="4"/>
      <c r="N28" s="4"/>
      <c r="O28" s="4"/>
      <c r="P28" s="281"/>
      <c r="Q28" s="281"/>
      <c r="R28" s="281"/>
      <c r="S28" s="281"/>
    </row>
    <row r="29" spans="4:19" ht="15.6" x14ac:dyDescent="0.3">
      <c r="D29" s="281"/>
      <c r="E29" s="398" t="s">
        <v>281</v>
      </c>
      <c r="F29" s="395"/>
      <c r="G29" s="396"/>
      <c r="H29" s="396"/>
      <c r="I29" s="396"/>
      <c r="J29" s="396"/>
      <c r="K29" s="254"/>
      <c r="L29" s="255"/>
      <c r="M29" s="4"/>
      <c r="N29" s="4"/>
      <c r="O29" s="4"/>
      <c r="P29" s="281"/>
      <c r="Q29" s="281"/>
      <c r="R29" s="281"/>
      <c r="S29" s="281"/>
    </row>
    <row r="30" spans="4:19" ht="15.6" x14ac:dyDescent="0.3">
      <c r="D30" s="281"/>
      <c r="E30" s="381" t="s">
        <v>43</v>
      </c>
      <c r="F30" s="382">
        <v>1</v>
      </c>
      <c r="G30" s="385">
        <v>26.486000000000001</v>
      </c>
      <c r="H30" s="384"/>
      <c r="I30" s="384">
        <f>'Defender Machinery Cost'!M20+'Defender Machinery Cost'!I20</f>
        <v>21.268636562499999</v>
      </c>
      <c r="J30" s="384">
        <f>'Defender Machinery Cost'!H20</f>
        <v>2.5430484523163881</v>
      </c>
      <c r="K30" s="261">
        <f>(F30*G30)+(F30*I30)</f>
        <v>47.754636562499996</v>
      </c>
      <c r="L30" s="257">
        <f>(F30*J30)</f>
        <v>2.5430484523163881</v>
      </c>
      <c r="M30" s="4" t="s">
        <v>95</v>
      </c>
      <c r="N30" s="4"/>
      <c r="O30" s="4"/>
      <c r="P30" s="281"/>
      <c r="Q30" s="281"/>
      <c r="R30" s="281"/>
      <c r="S30" s="281"/>
    </row>
    <row r="31" spans="4:19" ht="15.6" x14ac:dyDescent="0.3">
      <c r="D31" s="281"/>
      <c r="E31" s="386" t="s">
        <v>44</v>
      </c>
      <c r="F31" s="387">
        <v>1</v>
      </c>
      <c r="G31" s="389"/>
      <c r="H31" s="389"/>
      <c r="I31" s="389">
        <f>'Defender Machinery Cost'!M23+'Defender Machinery Cost'!I23</f>
        <v>0.88799166666666662</v>
      </c>
      <c r="J31" s="389">
        <f>'Defender Machinery Cost'!H23</f>
        <v>6.1454002203411155</v>
      </c>
      <c r="K31" s="262">
        <f>(F31*G31)+(F31*I31)</f>
        <v>0.88799166666666662</v>
      </c>
      <c r="L31" s="258">
        <f>(F31*J31)</f>
        <v>6.1454002203411155</v>
      </c>
      <c r="M31" s="4" t="s">
        <v>96</v>
      </c>
      <c r="N31" s="4"/>
      <c r="O31" s="4"/>
      <c r="P31" s="281"/>
      <c r="Q31" s="281"/>
      <c r="R31" s="281"/>
      <c r="S31" s="281"/>
    </row>
    <row r="32" spans="4:19" ht="15.6" x14ac:dyDescent="0.3">
      <c r="D32" s="281"/>
      <c r="E32" s="390" t="s">
        <v>45</v>
      </c>
      <c r="F32" s="401"/>
      <c r="G32" s="393"/>
      <c r="H32" s="402">
        <v>13.587499999999999</v>
      </c>
      <c r="I32" s="393"/>
      <c r="J32" s="393"/>
      <c r="K32" s="263">
        <f>H32</f>
        <v>13.587499999999999</v>
      </c>
      <c r="L32" s="264">
        <f>(F32*J32)</f>
        <v>0</v>
      </c>
      <c r="M32" s="4"/>
      <c r="N32" s="4"/>
      <c r="O32" s="4"/>
      <c r="P32" s="281"/>
      <c r="Q32" s="281"/>
      <c r="R32" s="281"/>
      <c r="S32" s="281"/>
    </row>
    <row r="33" spans="4:19" ht="15.6" x14ac:dyDescent="0.3">
      <c r="D33" s="281"/>
      <c r="E33" s="398" t="s">
        <v>4</v>
      </c>
      <c r="F33" s="410"/>
      <c r="G33" s="396"/>
      <c r="H33" s="396"/>
      <c r="I33" s="396"/>
      <c r="J33" s="397"/>
      <c r="K33" s="256">
        <f>SUM(K30:K32)</f>
        <v>62.23012822916666</v>
      </c>
      <c r="L33" s="255">
        <f>SUM(L30:L32)</f>
        <v>8.6884486726575041</v>
      </c>
      <c r="M33" s="4"/>
      <c r="N33" s="4"/>
      <c r="O33" s="4"/>
      <c r="P33" s="281"/>
      <c r="Q33" s="281"/>
      <c r="R33" s="281"/>
      <c r="S33" s="281"/>
    </row>
    <row r="34" spans="4:19" ht="15.6" x14ac:dyDescent="0.3">
      <c r="D34" s="281"/>
      <c r="E34" s="398" t="s">
        <v>6</v>
      </c>
      <c r="F34" s="395"/>
      <c r="G34" s="396"/>
      <c r="H34" s="396"/>
      <c r="I34" s="396"/>
      <c r="J34" s="396"/>
      <c r="K34" s="254"/>
      <c r="L34" s="255"/>
      <c r="M34" s="4"/>
      <c r="N34" s="4"/>
      <c r="O34" s="4"/>
      <c r="P34" s="281"/>
      <c r="Q34" s="281"/>
      <c r="R34" s="281"/>
      <c r="S34" s="281"/>
    </row>
    <row r="35" spans="4:19" ht="15.6" x14ac:dyDescent="0.3">
      <c r="D35" s="281"/>
      <c r="E35" s="381" t="s">
        <v>46</v>
      </c>
      <c r="F35" s="382">
        <v>0.3</v>
      </c>
      <c r="G35" s="385">
        <v>26.486000000000001</v>
      </c>
      <c r="H35" s="384"/>
      <c r="I35" s="384">
        <f>I14</f>
        <v>15.177194999999999</v>
      </c>
      <c r="J35" s="384">
        <f>J14</f>
        <v>8.0270372916653354</v>
      </c>
      <c r="K35" s="251">
        <f>(F35*G35)+(F35*I35)</f>
        <v>12.498958500000001</v>
      </c>
      <c r="L35" s="251">
        <f t="shared" ref="L35:L43" si="0">(F35*J35)</f>
        <v>2.4081111874996006</v>
      </c>
      <c r="M35" s="4" t="s">
        <v>97</v>
      </c>
      <c r="N35" s="4"/>
      <c r="O35" s="4"/>
      <c r="P35" s="281"/>
      <c r="Q35" s="281"/>
      <c r="R35" s="281"/>
      <c r="S35" s="281"/>
    </row>
    <row r="36" spans="4:19" ht="15.6" x14ac:dyDescent="0.3">
      <c r="D36" s="281"/>
      <c r="E36" s="386" t="s">
        <v>48</v>
      </c>
      <c r="F36" s="387">
        <v>0.3</v>
      </c>
      <c r="G36" s="389"/>
      <c r="H36" s="389"/>
      <c r="I36" s="389">
        <f>'Defender Machinery Cost'!M26+'Defender Machinery Cost'!I26</f>
        <v>0.92489999999999983</v>
      </c>
      <c r="J36" s="389">
        <f>'Defender Machinery Cost'!H26</f>
        <v>3.7291935597518782</v>
      </c>
      <c r="K36" s="252">
        <f>(F36*G36)+(F36*I36)</f>
        <v>0.27746999999999994</v>
      </c>
      <c r="L36" s="252">
        <f t="shared" si="0"/>
        <v>1.1187580679255633</v>
      </c>
      <c r="M36" s="4" t="s">
        <v>98</v>
      </c>
      <c r="N36" s="4"/>
      <c r="O36" s="4"/>
      <c r="P36" s="281"/>
      <c r="Q36" s="281"/>
      <c r="R36" s="281"/>
      <c r="S36" s="281"/>
    </row>
    <row r="37" spans="4:19" ht="15.6" x14ac:dyDescent="0.3">
      <c r="D37" s="281"/>
      <c r="E37" s="386" t="s">
        <v>50</v>
      </c>
      <c r="F37" s="387">
        <v>0.3</v>
      </c>
      <c r="G37" s="399">
        <v>26.486000000000001</v>
      </c>
      <c r="H37" s="389"/>
      <c r="I37" s="389">
        <f>I35</f>
        <v>15.177194999999999</v>
      </c>
      <c r="J37" s="389">
        <f>J35</f>
        <v>8.0270372916653354</v>
      </c>
      <c r="K37" s="252">
        <f>(F37*G37)+(F37*I37)</f>
        <v>12.498958500000001</v>
      </c>
      <c r="L37" s="252">
        <f t="shared" si="0"/>
        <v>2.4081111874996006</v>
      </c>
      <c r="M37" s="4" t="s">
        <v>99</v>
      </c>
      <c r="N37" s="4"/>
      <c r="O37" s="4"/>
      <c r="P37" s="281"/>
      <c r="Q37" s="281"/>
      <c r="R37" s="281"/>
      <c r="S37" s="281"/>
    </row>
    <row r="38" spans="4:19" ht="15.6" x14ac:dyDescent="0.3">
      <c r="D38" s="281"/>
      <c r="E38" s="386" t="s">
        <v>48</v>
      </c>
      <c r="F38" s="387">
        <v>0.3</v>
      </c>
      <c r="G38" s="389"/>
      <c r="H38" s="389"/>
      <c r="I38" s="389">
        <f>I36</f>
        <v>0.92489999999999983</v>
      </c>
      <c r="J38" s="389">
        <f>J36</f>
        <v>3.7291935597518782</v>
      </c>
      <c r="K38" s="252">
        <f>(F38*G38)+(F38*I38)</f>
        <v>0.27746999999999994</v>
      </c>
      <c r="L38" s="252">
        <f t="shared" si="0"/>
        <v>1.1187580679255633</v>
      </c>
      <c r="M38" s="4" t="s">
        <v>100</v>
      </c>
      <c r="N38" s="4"/>
      <c r="O38" s="4"/>
      <c r="P38" s="281"/>
      <c r="Q38" s="281"/>
      <c r="R38" s="281"/>
      <c r="S38" s="281"/>
    </row>
    <row r="39" spans="4:19" ht="15.6" x14ac:dyDescent="0.3">
      <c r="D39" s="281"/>
      <c r="E39" s="386" t="s">
        <v>51</v>
      </c>
      <c r="F39" s="400"/>
      <c r="G39" s="389"/>
      <c r="H39" s="399">
        <v>191.10000000000002</v>
      </c>
      <c r="I39" s="389"/>
      <c r="J39" s="389"/>
      <c r="K39" s="252">
        <f>H39</f>
        <v>191.10000000000002</v>
      </c>
      <c r="L39" s="252">
        <f t="shared" si="0"/>
        <v>0</v>
      </c>
      <c r="M39" s="4"/>
      <c r="N39" s="4"/>
      <c r="O39" s="4"/>
      <c r="P39" s="281"/>
      <c r="Q39" s="281"/>
      <c r="R39" s="281"/>
      <c r="S39" s="281"/>
    </row>
    <row r="40" spans="4:19" ht="15.6" x14ac:dyDescent="0.3">
      <c r="D40" s="281"/>
      <c r="E40" s="386" t="s">
        <v>52</v>
      </c>
      <c r="F40" s="400"/>
      <c r="G40" s="389"/>
      <c r="H40" s="399">
        <v>60.000000000000007</v>
      </c>
      <c r="I40" s="389"/>
      <c r="J40" s="389"/>
      <c r="K40" s="252">
        <f>H40</f>
        <v>60.000000000000007</v>
      </c>
      <c r="L40" s="252">
        <f t="shared" si="0"/>
        <v>0</v>
      </c>
      <c r="M40" s="4"/>
      <c r="N40" s="4"/>
      <c r="O40" s="4"/>
      <c r="P40" s="281"/>
      <c r="Q40" s="281"/>
      <c r="R40" s="281"/>
      <c r="S40" s="281"/>
    </row>
    <row r="41" spans="4:19" ht="15.6" x14ac:dyDescent="0.3">
      <c r="D41" s="281"/>
      <c r="E41" s="386" t="s">
        <v>275</v>
      </c>
      <c r="F41" s="387">
        <v>0.06</v>
      </c>
      <c r="G41" s="399">
        <v>26.486000000000001</v>
      </c>
      <c r="H41" s="389"/>
      <c r="I41" s="389">
        <f>I35</f>
        <v>15.177194999999999</v>
      </c>
      <c r="J41" s="389">
        <f>J37</f>
        <v>8.0270372916653354</v>
      </c>
      <c r="K41" s="252">
        <f>(F41*G41)+(F41*I41)</f>
        <v>2.4997916999999998</v>
      </c>
      <c r="L41" s="252">
        <f t="shared" si="0"/>
        <v>0.48162223749992011</v>
      </c>
      <c r="M41" s="4"/>
      <c r="N41" s="4"/>
      <c r="O41" s="4"/>
      <c r="P41" s="281"/>
      <c r="Q41" s="281"/>
      <c r="R41" s="281"/>
      <c r="S41" s="281"/>
    </row>
    <row r="42" spans="4:19" ht="15.6" x14ac:dyDescent="0.3">
      <c r="D42" s="281"/>
      <c r="E42" s="386" t="s">
        <v>48</v>
      </c>
      <c r="F42" s="387">
        <v>0.06</v>
      </c>
      <c r="G42" s="389"/>
      <c r="H42" s="389"/>
      <c r="I42" s="389">
        <f>I38</f>
        <v>0.92489999999999983</v>
      </c>
      <c r="J42" s="389">
        <f>J38</f>
        <v>3.7291935597518782</v>
      </c>
      <c r="K42" s="252">
        <f>(F42*G42)+(F42*I42)</f>
        <v>5.5493999999999988E-2</v>
      </c>
      <c r="L42" s="252">
        <f t="shared" si="0"/>
        <v>0.22375161358511267</v>
      </c>
      <c r="M42" s="4"/>
      <c r="N42" s="4"/>
      <c r="O42" s="4"/>
      <c r="P42" s="281"/>
      <c r="Q42" s="281"/>
      <c r="R42" s="281"/>
      <c r="S42" s="281"/>
    </row>
    <row r="43" spans="4:19" ht="15.6" x14ac:dyDescent="0.3">
      <c r="D43" s="281"/>
      <c r="E43" s="390" t="s">
        <v>54</v>
      </c>
      <c r="F43" s="401"/>
      <c r="G43" s="393"/>
      <c r="H43" s="402">
        <v>20</v>
      </c>
      <c r="I43" s="393"/>
      <c r="J43" s="393"/>
      <c r="K43" s="253">
        <f>H43</f>
        <v>20</v>
      </c>
      <c r="L43" s="253">
        <f t="shared" si="0"/>
        <v>0</v>
      </c>
      <c r="M43" s="4"/>
      <c r="N43" s="4"/>
      <c r="O43" s="4"/>
      <c r="P43" s="281"/>
      <c r="Q43" s="281"/>
      <c r="R43" s="281"/>
      <c r="S43" s="281"/>
    </row>
    <row r="44" spans="4:19" ht="15.6" x14ac:dyDescent="0.3">
      <c r="D44" s="281"/>
      <c r="E44" s="398" t="s">
        <v>4</v>
      </c>
      <c r="F44" s="410"/>
      <c r="G44" s="396"/>
      <c r="H44" s="396"/>
      <c r="I44" s="396"/>
      <c r="J44" s="396"/>
      <c r="K44" s="256">
        <f>SUM(K35:K43)</f>
        <v>299.20814270000005</v>
      </c>
      <c r="L44" s="255">
        <f>SUM(L35:L43)</f>
        <v>7.7591123619353608</v>
      </c>
      <c r="M44" s="4"/>
      <c r="N44" s="4"/>
      <c r="O44" s="4"/>
      <c r="P44" s="281"/>
      <c r="Q44" s="281"/>
      <c r="R44" s="281"/>
      <c r="S44" s="281"/>
    </row>
    <row r="45" spans="4:19" ht="15.6" x14ac:dyDescent="0.3">
      <c r="D45" s="281"/>
      <c r="E45" s="394" t="s">
        <v>55</v>
      </c>
      <c r="F45" s="433"/>
      <c r="G45" s="384"/>
      <c r="H45" s="385">
        <v>18.150000000000002</v>
      </c>
      <c r="I45" s="384"/>
      <c r="J45" s="384"/>
      <c r="K45" s="251">
        <f>H45</f>
        <v>18.150000000000002</v>
      </c>
      <c r="L45" s="251">
        <v>0</v>
      </c>
      <c r="M45" s="4"/>
      <c r="N45" s="4"/>
      <c r="O45" s="4"/>
      <c r="P45" s="281"/>
      <c r="Q45" s="281"/>
      <c r="R45" s="281"/>
      <c r="S45" s="281"/>
    </row>
    <row r="46" spans="4:19" ht="15.6" x14ac:dyDescent="0.3">
      <c r="D46" s="281"/>
      <c r="E46" s="394" t="s">
        <v>274</v>
      </c>
      <c r="F46" s="400"/>
      <c r="G46" s="389"/>
      <c r="H46" s="399">
        <v>25</v>
      </c>
      <c r="I46" s="389"/>
      <c r="J46" s="389"/>
      <c r="K46" s="252">
        <f>H46</f>
        <v>25</v>
      </c>
      <c r="L46" s="252">
        <v>0</v>
      </c>
      <c r="M46" s="4"/>
      <c r="N46" s="4"/>
      <c r="O46" s="4"/>
      <c r="P46" s="281"/>
      <c r="Q46" s="281"/>
      <c r="R46" s="281"/>
      <c r="S46" s="281"/>
    </row>
    <row r="47" spans="4:19" ht="15.6" x14ac:dyDescent="0.3">
      <c r="D47" s="281"/>
      <c r="E47" s="394" t="s">
        <v>273</v>
      </c>
      <c r="F47" s="401"/>
      <c r="G47" s="393"/>
      <c r="H47" s="393"/>
      <c r="I47" s="402">
        <v>20</v>
      </c>
      <c r="J47" s="402">
        <v>4</v>
      </c>
      <c r="K47" s="253">
        <f>I47</f>
        <v>20</v>
      </c>
      <c r="L47" s="253">
        <f>4</f>
        <v>4</v>
      </c>
      <c r="M47" s="4"/>
      <c r="N47" s="4"/>
      <c r="O47" s="4"/>
      <c r="P47" s="281"/>
      <c r="Q47" s="281"/>
      <c r="R47" s="281"/>
      <c r="S47" s="281"/>
    </row>
    <row r="48" spans="4:19" ht="15.6" x14ac:dyDescent="0.3">
      <c r="D48" s="281"/>
      <c r="E48" s="398"/>
      <c r="F48" s="395"/>
      <c r="G48" s="396"/>
      <c r="H48" s="396"/>
      <c r="I48" s="396"/>
      <c r="J48" s="396"/>
      <c r="K48" s="254"/>
      <c r="L48" s="255"/>
      <c r="M48" s="4"/>
      <c r="N48" s="4"/>
      <c r="O48" s="4"/>
      <c r="P48" s="281"/>
      <c r="Q48" s="281"/>
      <c r="R48" s="281"/>
      <c r="S48" s="281"/>
    </row>
    <row r="49" spans="4:19" ht="15.6" x14ac:dyDescent="0.3">
      <c r="D49" s="281"/>
      <c r="E49" s="398" t="s">
        <v>58</v>
      </c>
      <c r="F49" s="410"/>
      <c r="G49" s="396"/>
      <c r="H49" s="396"/>
      <c r="I49" s="396"/>
      <c r="J49" s="396"/>
      <c r="K49" s="256">
        <f>SUM(K47+K46+K45+K44+K33+K28+K23+K16+K12)</f>
        <v>937.62292166717293</v>
      </c>
      <c r="L49" s="256">
        <f>SUM(L47+L46+L45+L44+L33+L28+L23+L16+L12)</f>
        <v>87.351322409038602</v>
      </c>
      <c r="M49" s="4"/>
      <c r="N49" s="4"/>
      <c r="O49" s="4"/>
      <c r="P49" s="281"/>
      <c r="Q49" s="281"/>
      <c r="R49" s="281"/>
      <c r="S49" s="281"/>
    </row>
    <row r="50" spans="4:19" ht="15.6" x14ac:dyDescent="0.3">
      <c r="D50" s="281"/>
      <c r="E50" s="421"/>
      <c r="F50" s="395"/>
      <c r="G50" s="396"/>
      <c r="H50" s="396"/>
      <c r="I50" s="396"/>
      <c r="J50" s="396"/>
      <c r="K50" s="254"/>
      <c r="L50" s="255"/>
      <c r="M50" s="4"/>
      <c r="N50" s="4"/>
      <c r="O50" s="4"/>
      <c r="P50" s="281"/>
      <c r="Q50" s="281"/>
      <c r="R50" s="281"/>
      <c r="S50" s="281"/>
    </row>
    <row r="51" spans="4:19" ht="15.6" x14ac:dyDescent="0.3">
      <c r="D51" s="281"/>
      <c r="E51" s="394" t="s">
        <v>59</v>
      </c>
      <c r="F51" s="395"/>
      <c r="G51" s="396"/>
      <c r="H51" s="396"/>
      <c r="I51" s="396"/>
      <c r="J51" s="396"/>
      <c r="K51" s="254"/>
      <c r="L51" s="255"/>
      <c r="M51" s="4"/>
      <c r="N51" s="4"/>
      <c r="O51" s="4"/>
      <c r="P51" s="281"/>
      <c r="Q51" s="281"/>
      <c r="R51" s="281"/>
      <c r="S51" s="281"/>
    </row>
    <row r="52" spans="4:19" ht="15.6" x14ac:dyDescent="0.3">
      <c r="D52" s="281"/>
      <c r="E52" s="403" t="s">
        <v>60</v>
      </c>
      <c r="F52" s="382">
        <v>0.25</v>
      </c>
      <c r="G52" s="385">
        <v>26.486000000000001</v>
      </c>
      <c r="H52" s="384"/>
      <c r="I52" s="384">
        <f>I25</f>
        <v>21.082874639423078</v>
      </c>
      <c r="J52" s="384">
        <f>J25</f>
        <v>12.183432823773412</v>
      </c>
      <c r="K52" s="251">
        <f>(F52*G52)+(F52*I52)</f>
        <v>11.89221865985577</v>
      </c>
      <c r="L52" s="257">
        <f>(F52*J52)</f>
        <v>3.045858205943353</v>
      </c>
      <c r="M52" s="4"/>
      <c r="N52" s="4"/>
      <c r="O52" s="4"/>
      <c r="P52" s="281"/>
      <c r="Q52" s="281"/>
      <c r="R52" s="281"/>
      <c r="S52" s="281"/>
    </row>
    <row r="53" spans="4:19" ht="15.6" x14ac:dyDescent="0.3">
      <c r="D53" s="281"/>
      <c r="E53" s="406" t="s">
        <v>61</v>
      </c>
      <c r="F53" s="387">
        <v>0.25</v>
      </c>
      <c r="G53" s="389"/>
      <c r="H53" s="389"/>
      <c r="I53" s="389">
        <f>I26</f>
        <v>9.7473167832167835</v>
      </c>
      <c r="J53" s="389">
        <f>J26</f>
        <v>12.649268698465464</v>
      </c>
      <c r="K53" s="252">
        <f>(F53*G53)+(F53*I53)</f>
        <v>2.4368291958041959</v>
      </c>
      <c r="L53" s="258">
        <f>(F53*J53)</f>
        <v>3.1623171746163661</v>
      </c>
      <c r="M53" s="4"/>
      <c r="N53" s="4"/>
      <c r="O53" s="4"/>
      <c r="P53" s="281"/>
      <c r="Q53" s="281"/>
      <c r="R53" s="281"/>
      <c r="S53" s="281"/>
    </row>
    <row r="54" spans="4:19" ht="15.6" x14ac:dyDescent="0.3">
      <c r="D54" s="281"/>
      <c r="E54" s="408" t="s">
        <v>62</v>
      </c>
      <c r="F54" s="401"/>
      <c r="G54" s="393"/>
      <c r="H54" s="402">
        <v>4.1999999999999993</v>
      </c>
      <c r="I54" s="393"/>
      <c r="J54" s="393"/>
      <c r="K54" s="253">
        <f>H54</f>
        <v>4.1999999999999993</v>
      </c>
      <c r="L54" s="264">
        <f>(F54*J54)</f>
        <v>0</v>
      </c>
      <c r="M54" s="4"/>
      <c r="N54" s="4"/>
      <c r="O54" s="4"/>
      <c r="P54" s="281"/>
      <c r="Q54" s="281"/>
      <c r="R54" s="281"/>
      <c r="S54" s="281"/>
    </row>
    <row r="55" spans="4:19" ht="15.6" x14ac:dyDescent="0.3">
      <c r="D55" s="281"/>
      <c r="E55" s="434" t="s">
        <v>250</v>
      </c>
      <c r="F55" s="435">
        <v>1.5729166666666667</v>
      </c>
      <c r="G55" s="385">
        <v>26.486000000000001</v>
      </c>
      <c r="H55" s="384"/>
      <c r="I55" s="384">
        <f>'Defender Machinery Cost'!M21+'Defender Machinery Cost'!I21</f>
        <v>28.585629629629629</v>
      </c>
      <c r="J55" s="384">
        <f>'Defender Machinery Cost'!H21</f>
        <v>34.577618477068754</v>
      </c>
      <c r="K55" s="251">
        <f>(F55*G55)+(F55*I55)</f>
        <v>86.623084104938272</v>
      </c>
      <c r="L55" s="251">
        <f>(F55*J55)</f>
        <v>54.387712396222732</v>
      </c>
      <c r="M55" s="4" t="s">
        <v>103</v>
      </c>
      <c r="N55" s="4"/>
      <c r="O55" s="4"/>
      <c r="P55" s="281"/>
      <c r="Q55" s="281"/>
      <c r="R55" s="281"/>
      <c r="S55" s="281"/>
    </row>
    <row r="56" spans="4:19" ht="15.6" x14ac:dyDescent="0.3">
      <c r="D56" s="281"/>
      <c r="E56" s="406" t="s">
        <v>36</v>
      </c>
      <c r="F56" s="436">
        <v>1.5729166666666667</v>
      </c>
      <c r="G56" s="399">
        <v>14.0875</v>
      </c>
      <c r="H56" s="389"/>
      <c r="I56" s="389">
        <f>I52</f>
        <v>21.082874639423078</v>
      </c>
      <c r="J56" s="389">
        <f>J52</f>
        <v>12.183432823773412</v>
      </c>
      <c r="K56" s="252">
        <f>(F56*G56)+(F56*I56)</f>
        <v>55.320068443259224</v>
      </c>
      <c r="L56" s="252">
        <f t="shared" ref="L56:L62" si="1">(F56*J56)</f>
        <v>19.163524545726929</v>
      </c>
      <c r="M56" s="4" t="s">
        <v>104</v>
      </c>
      <c r="N56" s="4"/>
      <c r="O56" s="4"/>
      <c r="P56" s="281"/>
      <c r="Q56" s="281"/>
      <c r="R56" s="281"/>
      <c r="S56" s="281"/>
    </row>
    <row r="57" spans="4:19" ht="15.6" x14ac:dyDescent="0.3">
      <c r="D57" s="281"/>
      <c r="E57" s="406" t="s">
        <v>67</v>
      </c>
      <c r="F57" s="436">
        <v>1.5729166666666667</v>
      </c>
      <c r="G57" s="399">
        <v>14.0875</v>
      </c>
      <c r="H57" s="389"/>
      <c r="I57" s="389">
        <f>I35</f>
        <v>15.177194999999999</v>
      </c>
      <c r="J57" s="389">
        <f>J35</f>
        <v>8.0270372916653354</v>
      </c>
      <c r="K57" s="252">
        <f>(F57*G57)+(F57*I57)</f>
        <v>46.03092651041667</v>
      </c>
      <c r="L57" s="252">
        <f t="shared" si="1"/>
        <v>12.625860740015268</v>
      </c>
      <c r="M57" s="4"/>
      <c r="N57" s="4"/>
      <c r="O57" s="4"/>
      <c r="P57" s="281"/>
      <c r="Q57" s="281"/>
      <c r="R57" s="281"/>
      <c r="S57" s="281"/>
    </row>
    <row r="58" spans="4:19" ht="15.6" x14ac:dyDescent="0.3">
      <c r="D58" s="281"/>
      <c r="E58" s="406" t="s">
        <v>68</v>
      </c>
      <c r="F58" s="436">
        <v>1.5729166666666667</v>
      </c>
      <c r="G58" s="399">
        <v>14.0875</v>
      </c>
      <c r="H58" s="389"/>
      <c r="I58" s="389">
        <f>I30</f>
        <v>21.268636562499999</v>
      </c>
      <c r="J58" s="389">
        <f>J30</f>
        <v>2.5430484523163881</v>
      </c>
      <c r="K58" s="252">
        <f>(F58*G58)+(F58*I58)</f>
        <v>55.612256468098963</v>
      </c>
      <c r="L58" s="252">
        <f t="shared" si="1"/>
        <v>4.0000032947893187</v>
      </c>
      <c r="M58" s="4"/>
      <c r="N58" s="4"/>
      <c r="O58" s="4"/>
      <c r="P58" s="281"/>
      <c r="Q58" s="281"/>
      <c r="R58" s="281"/>
      <c r="S58" s="281"/>
    </row>
    <row r="59" spans="4:19" ht="15.6" x14ac:dyDescent="0.3">
      <c r="D59" s="281"/>
      <c r="E59" s="406" t="s">
        <v>69</v>
      </c>
      <c r="F59" s="437">
        <v>2</v>
      </c>
      <c r="G59" s="399">
        <v>12.25</v>
      </c>
      <c r="H59" s="389"/>
      <c r="I59" s="389"/>
      <c r="J59" s="389"/>
      <c r="K59" s="252">
        <f>(F59*G59)+(F59*I59)</f>
        <v>24.5</v>
      </c>
      <c r="L59" s="252">
        <f t="shared" si="1"/>
        <v>0</v>
      </c>
      <c r="M59" s="4"/>
      <c r="N59" s="4"/>
      <c r="O59" s="4"/>
      <c r="P59" s="281"/>
      <c r="Q59" s="281"/>
      <c r="R59" s="281"/>
      <c r="S59" s="281"/>
    </row>
    <row r="60" spans="4:19" ht="15.6" x14ac:dyDescent="0.3">
      <c r="D60" s="281"/>
      <c r="E60" s="406" t="s">
        <v>70</v>
      </c>
      <c r="F60" s="438"/>
      <c r="G60" s="389"/>
      <c r="H60" s="389"/>
      <c r="I60" s="389"/>
      <c r="J60" s="389"/>
      <c r="K60" s="252">
        <f>(0.016*'Defender(TartCher)Orchard Model'!U5)</f>
        <v>192</v>
      </c>
      <c r="L60" s="252">
        <f t="shared" si="1"/>
        <v>0</v>
      </c>
      <c r="M60" s="4"/>
      <c r="N60" s="4"/>
      <c r="O60" s="4"/>
      <c r="P60" s="281"/>
      <c r="Q60" s="281"/>
      <c r="R60" s="281"/>
      <c r="S60" s="281"/>
    </row>
    <row r="61" spans="4:19" ht="15.6" x14ac:dyDescent="0.3">
      <c r="D61" s="281"/>
      <c r="E61" s="406" t="s">
        <v>71</v>
      </c>
      <c r="F61" s="438"/>
      <c r="G61" s="438"/>
      <c r="H61" s="389"/>
      <c r="I61" s="389"/>
      <c r="J61" s="389"/>
      <c r="K61" s="252">
        <f>(0.006*'Defender(TartCher)Orchard Model'!U5)</f>
        <v>72</v>
      </c>
      <c r="L61" s="252">
        <f t="shared" si="1"/>
        <v>0</v>
      </c>
      <c r="M61" s="4"/>
      <c r="N61" s="4"/>
      <c r="O61" s="4"/>
      <c r="P61" s="281"/>
      <c r="Q61" s="281"/>
      <c r="R61" s="281"/>
      <c r="S61" s="281"/>
    </row>
    <row r="62" spans="4:19" ht="15.6" x14ac:dyDescent="0.3">
      <c r="D62" s="281"/>
      <c r="E62" s="406" t="s">
        <v>72</v>
      </c>
      <c r="F62" s="438"/>
      <c r="G62" s="438"/>
      <c r="H62" s="389"/>
      <c r="I62" s="389"/>
      <c r="J62" s="389"/>
      <c r="K62" s="252">
        <f>(0.005*'Defender(TartCher)Orchard Model'!U5)</f>
        <v>60</v>
      </c>
      <c r="L62" s="252">
        <f t="shared" si="1"/>
        <v>0</v>
      </c>
      <c r="M62" s="4"/>
      <c r="N62" s="4"/>
      <c r="O62" s="4"/>
      <c r="P62" s="281"/>
      <c r="Q62" s="281"/>
      <c r="R62" s="281"/>
      <c r="S62" s="281"/>
    </row>
    <row r="63" spans="4:19" ht="15.6" x14ac:dyDescent="0.3">
      <c r="D63" s="281"/>
      <c r="E63" s="428" t="s">
        <v>4</v>
      </c>
      <c r="F63" s="429"/>
      <c r="G63" s="430"/>
      <c r="H63" s="396"/>
      <c r="I63" s="396"/>
      <c r="J63" s="397"/>
      <c r="K63" s="256">
        <f>SUM(K52:K62)</f>
        <v>610.61538338237312</v>
      </c>
      <c r="L63" s="256">
        <f>SUM(L52:L62)</f>
        <v>96.38527635731397</v>
      </c>
      <c r="M63" s="4"/>
      <c r="N63" s="4"/>
      <c r="O63" s="4"/>
      <c r="P63" s="281"/>
      <c r="Q63" s="281"/>
      <c r="R63" s="281"/>
      <c r="S63" s="281"/>
    </row>
    <row r="64" spans="4:19" ht="15.6" x14ac:dyDescent="0.3">
      <c r="D64" s="281"/>
      <c r="E64" s="394" t="s">
        <v>73</v>
      </c>
      <c r="F64" s="426">
        <v>6</v>
      </c>
      <c r="G64" s="431">
        <v>33.770000000000003</v>
      </c>
      <c r="H64" s="420"/>
      <c r="I64" s="420"/>
      <c r="J64" s="420"/>
      <c r="K64" s="256">
        <f>(F64*G64)</f>
        <v>202.62</v>
      </c>
      <c r="L64" s="256">
        <v>0</v>
      </c>
      <c r="M64" s="4"/>
      <c r="N64" s="4"/>
      <c r="O64" s="4"/>
      <c r="P64" s="281"/>
      <c r="Q64" s="281"/>
      <c r="R64" s="281"/>
      <c r="S64" s="281"/>
    </row>
    <row r="65" spans="1:38" ht="15.6" x14ac:dyDescent="0.3">
      <c r="D65" s="281"/>
      <c r="E65" s="236" t="s">
        <v>74</v>
      </c>
      <c r="F65" s="267"/>
      <c r="G65" s="268"/>
      <c r="H65" s="256"/>
      <c r="I65" s="256"/>
      <c r="J65" s="256"/>
      <c r="K65" s="256">
        <f>(((8/12)*K49)*0.08)+((2/12)*K63*0.08)</f>
        <v>58.148094267347531</v>
      </c>
      <c r="L65" s="256">
        <v>0</v>
      </c>
      <c r="M65" s="4"/>
      <c r="N65" s="4"/>
      <c r="O65" s="4"/>
      <c r="P65" s="281"/>
      <c r="Q65" s="281"/>
      <c r="R65" s="281"/>
      <c r="S65" s="281"/>
    </row>
    <row r="66" spans="1:38" ht="15.6" x14ac:dyDescent="0.3">
      <c r="D66" s="281"/>
      <c r="E66" s="236" t="s">
        <v>327</v>
      </c>
      <c r="F66" s="267"/>
      <c r="G66" s="267"/>
      <c r="H66" s="256"/>
      <c r="I66" s="256"/>
      <c r="J66" s="256"/>
      <c r="K66" s="256">
        <v>30</v>
      </c>
      <c r="L66" s="256">
        <v>0</v>
      </c>
      <c r="M66" s="4"/>
      <c r="N66" s="4"/>
      <c r="O66" s="4"/>
      <c r="P66" s="281"/>
      <c r="Q66" s="281"/>
      <c r="R66" s="281"/>
      <c r="S66" s="281"/>
    </row>
    <row r="67" spans="1:38" s="102" customFormat="1" ht="15.6" x14ac:dyDescent="0.3">
      <c r="A67" s="278"/>
      <c r="B67" s="278"/>
      <c r="C67" s="278"/>
      <c r="D67" s="281"/>
      <c r="E67" s="248" t="s">
        <v>312</v>
      </c>
      <c r="F67" s="265"/>
      <c r="G67" s="266"/>
      <c r="H67" s="254"/>
      <c r="I67" s="254"/>
      <c r="J67" s="255"/>
      <c r="K67" s="256">
        <v>0</v>
      </c>
      <c r="L67" s="255">
        <f>'Defender Cost to Establish'!D10</f>
        <v>200</v>
      </c>
      <c r="M67" s="4"/>
      <c r="N67" s="4"/>
      <c r="O67" s="4"/>
      <c r="P67" s="281"/>
      <c r="Q67" s="281"/>
      <c r="R67" s="281"/>
      <c r="S67" s="281"/>
      <c r="T67" s="278"/>
      <c r="U67" s="278"/>
      <c r="V67" s="278"/>
      <c r="W67" s="278"/>
      <c r="X67" s="278"/>
      <c r="Y67" s="278"/>
      <c r="Z67" s="278"/>
      <c r="AA67" s="278"/>
      <c r="AB67" s="278"/>
      <c r="AC67" s="278"/>
      <c r="AD67" s="278"/>
      <c r="AE67" s="278"/>
      <c r="AF67" s="278"/>
      <c r="AG67" s="278"/>
      <c r="AH67" s="278"/>
      <c r="AI67" s="278"/>
      <c r="AJ67" s="278"/>
      <c r="AK67" s="278"/>
      <c r="AL67" s="278"/>
    </row>
    <row r="68" spans="1:38" ht="15.6" x14ac:dyDescent="0.3">
      <c r="D68" s="281"/>
      <c r="E68" s="248" t="s">
        <v>76</v>
      </c>
      <c r="F68" s="265"/>
      <c r="G68" s="266"/>
      <c r="H68" s="254"/>
      <c r="I68" s="254"/>
      <c r="J68" s="255"/>
      <c r="K68" s="256">
        <f>SUM(K66+K65+K64+K63+K49+K67)</f>
        <v>1839.0063993168935</v>
      </c>
      <c r="L68" s="255">
        <f>SUM(L66+L65+L64+L63+L49+L67)</f>
        <v>383.73659876635259</v>
      </c>
      <c r="M68" s="4"/>
      <c r="N68" s="4"/>
      <c r="O68" s="4"/>
      <c r="P68" s="281"/>
      <c r="Q68" s="281"/>
      <c r="R68" s="281"/>
      <c r="S68" s="281"/>
    </row>
    <row r="69" spans="1:38" ht="15.6" x14ac:dyDescent="0.3">
      <c r="D69" s="281"/>
      <c r="E69" s="246" t="s">
        <v>77</v>
      </c>
      <c r="F69" s="260"/>
      <c r="G69" s="310"/>
      <c r="H69" s="311"/>
      <c r="I69" s="311"/>
      <c r="J69" s="312"/>
      <c r="K69" s="272">
        <f>SUM(K68:L68)</f>
        <v>2222.7429980832462</v>
      </c>
      <c r="L69" s="312"/>
      <c r="M69" s="4"/>
      <c r="N69" s="4"/>
      <c r="O69" s="4"/>
      <c r="P69" s="281"/>
      <c r="Q69" s="281"/>
      <c r="R69" s="281"/>
      <c r="S69" s="281"/>
    </row>
    <row r="70" spans="1:38" s="278" customFormat="1" ht="15.6" x14ac:dyDescent="0.3">
      <c r="D70" s="281"/>
      <c r="E70" s="281"/>
      <c r="F70" s="281"/>
      <c r="G70" s="281"/>
      <c r="H70" s="329"/>
      <c r="I70" s="329"/>
      <c r="J70" s="329"/>
      <c r="K70" s="329"/>
      <c r="L70" s="329"/>
      <c r="M70" s="281"/>
      <c r="N70" s="281"/>
      <c r="O70" s="281"/>
      <c r="P70" s="281"/>
      <c r="Q70" s="281"/>
      <c r="R70" s="281"/>
      <c r="S70" s="281"/>
    </row>
    <row r="71" spans="1:38" s="278" customFormat="1" ht="15.6" x14ac:dyDescent="0.3">
      <c r="D71" s="281"/>
      <c r="E71" s="281"/>
      <c r="F71" s="281"/>
      <c r="G71" s="281"/>
      <c r="H71" s="281"/>
      <c r="I71" s="281"/>
      <c r="J71" s="281"/>
      <c r="K71" s="281"/>
      <c r="L71" s="281"/>
      <c r="M71" s="281"/>
      <c r="N71" s="281"/>
      <c r="O71" s="281"/>
      <c r="P71" s="281"/>
      <c r="Q71" s="281"/>
      <c r="R71" s="281"/>
      <c r="S71" s="281"/>
    </row>
    <row r="72" spans="1:38" s="278" customFormat="1" x14ac:dyDescent="0.3">
      <c r="E72" s="330"/>
      <c r="F72" s="330"/>
      <c r="G72" s="330"/>
      <c r="H72" s="330"/>
      <c r="I72" s="330"/>
      <c r="J72" s="330"/>
      <c r="K72" s="330"/>
      <c r="L72" s="330"/>
      <c r="M72" s="330"/>
      <c r="N72" s="330"/>
      <c r="O72" s="330"/>
    </row>
    <row r="73" spans="1:38" s="278" customFormat="1" x14ac:dyDescent="0.3"/>
    <row r="74" spans="1:38" s="278" customFormat="1" x14ac:dyDescent="0.3"/>
    <row r="75" spans="1:38" s="278" customFormat="1" x14ac:dyDescent="0.3"/>
    <row r="76" spans="1:38" s="278" customFormat="1" x14ac:dyDescent="0.3"/>
    <row r="77" spans="1:38" s="278" customFormat="1" x14ac:dyDescent="0.3"/>
    <row r="78" spans="1:38" s="278" customFormat="1" x14ac:dyDescent="0.3"/>
    <row r="79" spans="1:38" s="278" customFormat="1" x14ac:dyDescent="0.3"/>
    <row r="80" spans="1:38" s="278" customFormat="1" x14ac:dyDescent="0.3"/>
    <row r="81" s="278" customFormat="1" x14ac:dyDescent="0.3"/>
    <row r="82" s="278" customFormat="1" x14ac:dyDescent="0.3"/>
    <row r="83" s="278" customFormat="1" x14ac:dyDescent="0.3"/>
    <row r="84" s="278" customFormat="1" x14ac:dyDescent="0.3"/>
    <row r="85" s="278" customFormat="1" x14ac:dyDescent="0.3"/>
    <row r="86" s="278" customFormat="1" x14ac:dyDescent="0.3"/>
    <row r="87" s="278" customFormat="1" x14ac:dyDescent="0.3"/>
    <row r="88" s="278" customFormat="1" x14ac:dyDescent="0.3"/>
    <row r="89" s="278" customFormat="1" x14ac:dyDescent="0.3"/>
    <row r="90" s="278" customFormat="1" x14ac:dyDescent="0.3"/>
    <row r="91" s="278" customFormat="1" x14ac:dyDescent="0.3"/>
    <row r="92" s="278" customFormat="1" x14ac:dyDescent="0.3"/>
    <row r="93" s="278" customFormat="1" x14ac:dyDescent="0.3"/>
    <row r="94" s="278" customFormat="1" x14ac:dyDescent="0.3"/>
    <row r="95" s="278" customFormat="1" x14ac:dyDescent="0.3"/>
    <row r="96" s="278" customFormat="1" x14ac:dyDescent="0.3"/>
    <row r="97" s="278" customFormat="1" x14ac:dyDescent="0.3"/>
    <row r="98" s="278" customFormat="1" x14ac:dyDescent="0.3"/>
    <row r="99" s="278" customFormat="1" x14ac:dyDescent="0.3"/>
  </sheetData>
  <sheetProtection sheet="1" objects="1" scenarios="1"/>
  <mergeCells count="4">
    <mergeCell ref="K4:L4"/>
    <mergeCell ref="I4:J4"/>
    <mergeCell ref="E3:L3"/>
    <mergeCell ref="E2:L2"/>
  </mergeCells>
  <pageMargins left="0.63" right="0.24" top="0.19" bottom="0.17" header="0.3" footer="0.3"/>
  <pageSetup scale="71" orientation="portrait" r:id="rId1"/>
  <ignoredErrors>
    <ignoredError sqref="K54 K44"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topLeftCell="B1" workbookViewId="0">
      <selection activeCell="Q18" sqref="Q18"/>
    </sheetView>
  </sheetViews>
  <sheetFormatPr defaultColWidth="9.109375" defaultRowHeight="14.4" x14ac:dyDescent="0.3"/>
  <cols>
    <col min="1" max="1" width="9.109375" style="102"/>
    <col min="2" max="2" width="47.109375" style="102" customWidth="1"/>
    <col min="3" max="3" width="10.5546875" style="102" customWidth="1"/>
    <col min="4" max="5" width="9.109375" style="102"/>
    <col min="6" max="6" width="9.109375" style="102" customWidth="1"/>
    <col min="7" max="7" width="10.6640625" style="102" customWidth="1"/>
    <col min="8" max="9" width="11.109375" style="102" customWidth="1"/>
    <col min="10" max="12" width="0" style="102" hidden="1" customWidth="1"/>
    <col min="13" max="14" width="9.109375" style="102"/>
    <col min="15" max="15" width="12.44140625" style="102" customWidth="1"/>
    <col min="16" max="16" width="10.88671875" style="102" customWidth="1"/>
    <col min="17" max="17" width="14.5546875" style="102" customWidth="1"/>
    <col min="18" max="16384" width="9.109375" style="102"/>
  </cols>
  <sheetData>
    <row r="1" spans="1:19" ht="15.6" x14ac:dyDescent="0.3">
      <c r="A1" s="4"/>
      <c r="B1" s="4"/>
      <c r="C1" s="4"/>
      <c r="D1" s="4"/>
      <c r="E1" s="4"/>
      <c r="F1" s="4"/>
      <c r="G1" s="4"/>
      <c r="H1" s="4"/>
      <c r="I1" s="4"/>
      <c r="J1" s="4"/>
      <c r="K1" s="4"/>
      <c r="L1" s="4"/>
      <c r="M1" s="4"/>
      <c r="N1" s="4"/>
      <c r="O1" s="4"/>
      <c r="P1" s="4"/>
    </row>
    <row r="2" spans="1:19" ht="15.6" x14ac:dyDescent="0.3">
      <c r="A2" s="4"/>
      <c r="B2" s="578" t="s">
        <v>79</v>
      </c>
      <c r="C2" s="579"/>
      <c r="D2" s="579"/>
      <c r="E2" s="579"/>
      <c r="F2" s="579"/>
      <c r="G2" s="579"/>
      <c r="H2" s="580"/>
      <c r="I2" s="55">
        <f>'Defender(TartCher)Orchard Model'!E54</f>
        <v>5759.9999999999945</v>
      </c>
      <c r="J2" s="4"/>
      <c r="K2" s="4"/>
      <c r="L2" s="4"/>
      <c r="M2" s="4"/>
      <c r="N2" s="4"/>
      <c r="O2" s="4"/>
      <c r="P2" s="4"/>
    </row>
    <row r="3" spans="1:19" ht="15.6" x14ac:dyDescent="0.3">
      <c r="A3" s="4"/>
      <c r="B3" s="9"/>
      <c r="C3" s="10" t="s">
        <v>14</v>
      </c>
      <c r="D3" s="10" t="s">
        <v>15</v>
      </c>
      <c r="E3" s="10" t="s">
        <v>16</v>
      </c>
      <c r="F3" s="578" t="s">
        <v>105</v>
      </c>
      <c r="G3" s="580"/>
      <c r="H3" s="578" t="s">
        <v>4</v>
      </c>
      <c r="I3" s="580"/>
      <c r="J3" s="4"/>
      <c r="K3" s="4"/>
      <c r="L3" s="4"/>
      <c r="M3" s="4"/>
      <c r="N3" s="4"/>
      <c r="O3" s="4"/>
      <c r="P3" s="4"/>
    </row>
    <row r="4" spans="1:19" ht="31.2" x14ac:dyDescent="0.3">
      <c r="A4" s="4"/>
      <c r="B4" s="13" t="s">
        <v>19</v>
      </c>
      <c r="C4" s="14" t="s">
        <v>20</v>
      </c>
      <c r="D4" s="14" t="s">
        <v>21</v>
      </c>
      <c r="E4" s="14" t="s">
        <v>22</v>
      </c>
      <c r="F4" s="14" t="s">
        <v>21</v>
      </c>
      <c r="G4" s="14" t="s">
        <v>23</v>
      </c>
      <c r="H4" s="14" t="s">
        <v>22</v>
      </c>
      <c r="I4" s="14" t="s">
        <v>24</v>
      </c>
      <c r="J4" s="15"/>
      <c r="K4" s="4"/>
      <c r="L4" s="4"/>
      <c r="M4" s="4"/>
      <c r="N4" s="103" t="s">
        <v>107</v>
      </c>
      <c r="O4" s="103" t="s">
        <v>112</v>
      </c>
      <c r="P4" s="103"/>
      <c r="Q4" s="103" t="s">
        <v>140</v>
      </c>
      <c r="S4" s="103"/>
    </row>
    <row r="5" spans="1:19" ht="15.6" x14ac:dyDescent="0.3">
      <c r="A5" s="4"/>
      <c r="B5" s="7" t="s">
        <v>80</v>
      </c>
      <c r="C5" s="5"/>
      <c r="D5" s="5"/>
      <c r="E5" s="5"/>
      <c r="F5" s="5"/>
      <c r="G5" s="5"/>
      <c r="H5" s="5"/>
      <c r="I5" s="6"/>
      <c r="J5" s="4"/>
      <c r="K5" s="4"/>
      <c r="L5" s="4"/>
      <c r="M5" s="4"/>
      <c r="N5" s="103">
        <v>4</v>
      </c>
      <c r="O5" s="142">
        <v>1669.1804017930999</v>
      </c>
      <c r="P5" s="142">
        <v>2270.680132832359</v>
      </c>
      <c r="Q5" s="105">
        <f>O5/P5</f>
        <v>0.73510151326819795</v>
      </c>
    </row>
    <row r="6" spans="1:19" ht="15.6" x14ac:dyDescent="0.3">
      <c r="A6" s="4"/>
      <c r="B6" s="16" t="s">
        <v>81</v>
      </c>
      <c r="C6" s="56">
        <v>10</v>
      </c>
      <c r="D6" s="57">
        <v>14.0875</v>
      </c>
      <c r="E6" s="57"/>
      <c r="F6" s="57">
        <f>(1/10)</f>
        <v>0.1</v>
      </c>
      <c r="G6" s="57"/>
      <c r="H6" s="57">
        <f>(C6*D6)+(C6*F6)</f>
        <v>141.875</v>
      </c>
      <c r="I6" s="57">
        <f>(C6*G6)</f>
        <v>0</v>
      </c>
      <c r="J6" s="4" t="s">
        <v>82</v>
      </c>
      <c r="K6" s="4"/>
      <c r="L6" s="4"/>
      <c r="M6" s="4"/>
      <c r="N6" s="103">
        <v>5</v>
      </c>
      <c r="O6" s="142">
        <v>1801.42915944473</v>
      </c>
      <c r="P6" s="142">
        <v>2270.680132832359</v>
      </c>
      <c r="Q6" s="105">
        <f>O6/P6</f>
        <v>0.79334342754727705</v>
      </c>
    </row>
    <row r="7" spans="1:19" ht="15.6" x14ac:dyDescent="0.3">
      <c r="A7" s="4"/>
      <c r="B7" s="19" t="s">
        <v>28</v>
      </c>
      <c r="C7" s="58">
        <v>1</v>
      </c>
      <c r="D7" s="59">
        <v>14.0875</v>
      </c>
      <c r="E7" s="59"/>
      <c r="F7" s="59">
        <v>21.026510456730769</v>
      </c>
      <c r="G7" s="59">
        <v>9.8784735279297031</v>
      </c>
      <c r="H7" s="59">
        <f>(C7*D7)+(C7*F7)</f>
        <v>35.114010456730767</v>
      </c>
      <c r="I7" s="59">
        <f>(C7*G7)</f>
        <v>9.8784735279297031</v>
      </c>
      <c r="J7" s="4" t="s">
        <v>83</v>
      </c>
      <c r="K7" s="4"/>
      <c r="L7" s="4"/>
      <c r="M7" s="4"/>
      <c r="N7" s="103">
        <v>6</v>
      </c>
      <c r="O7" s="142">
        <v>1925.8658127337301</v>
      </c>
      <c r="P7" s="142">
        <v>2270.680132832359</v>
      </c>
      <c r="Q7" s="105">
        <f>O7/P7</f>
        <v>0.84814491697317096</v>
      </c>
    </row>
    <row r="8" spans="1:19" ht="15.6" x14ac:dyDescent="0.3">
      <c r="A8" s="4"/>
      <c r="B8" s="19" t="s">
        <v>30</v>
      </c>
      <c r="C8" s="58">
        <v>1</v>
      </c>
      <c r="D8" s="59"/>
      <c r="E8" s="59"/>
      <c r="F8" s="59">
        <v>4.3655666666666653</v>
      </c>
      <c r="G8" s="59">
        <v>4.8436172645021385</v>
      </c>
      <c r="H8" s="59">
        <f>(C8*D8)+(C8*F8)</f>
        <v>4.3655666666666653</v>
      </c>
      <c r="I8" s="59">
        <f>(C8*G8)</f>
        <v>4.8436172645021385</v>
      </c>
      <c r="J8" s="4" t="s">
        <v>84</v>
      </c>
      <c r="K8" s="4"/>
      <c r="L8" s="4"/>
      <c r="M8" s="4"/>
      <c r="N8" s="103">
        <v>7</v>
      </c>
      <c r="O8" s="142">
        <v>2080.7565505912698</v>
      </c>
      <c r="P8" s="142">
        <v>2270.680132832359</v>
      </c>
      <c r="Q8" s="105">
        <f>O8/P8</f>
        <v>0.91635828424491217</v>
      </c>
    </row>
    <row r="9" spans="1:19" ht="15.6" x14ac:dyDescent="0.3">
      <c r="A9" s="4"/>
      <c r="B9" s="46" t="s">
        <v>85</v>
      </c>
      <c r="C9" s="58">
        <f>0.15</f>
        <v>0.15</v>
      </c>
      <c r="D9" s="59">
        <v>14.0875</v>
      </c>
      <c r="E9" s="59"/>
      <c r="F9" s="59">
        <v>21.026510456730769</v>
      </c>
      <c r="G9" s="59">
        <v>9.8784735279297031</v>
      </c>
      <c r="H9" s="59">
        <f>(C9*D9)+(C9*F9)</f>
        <v>5.2671015685096148</v>
      </c>
      <c r="I9" s="59">
        <f>(C9*G9)</f>
        <v>1.4817710291894555</v>
      </c>
      <c r="J9" s="4" t="s">
        <v>86</v>
      </c>
      <c r="K9" s="4"/>
      <c r="L9" s="4"/>
      <c r="M9" s="4"/>
      <c r="N9" s="103">
        <v>8</v>
      </c>
      <c r="O9" s="142">
        <v>2201.32179474752</v>
      </c>
      <c r="P9" s="142">
        <v>2270.680132832359</v>
      </c>
      <c r="Q9" s="105">
        <f>O9/P9</f>
        <v>0.96945481792791122</v>
      </c>
    </row>
    <row r="10" spans="1:19" ht="15.6" x14ac:dyDescent="0.3">
      <c r="A10" s="4"/>
      <c r="B10" s="46" t="s">
        <v>87</v>
      </c>
      <c r="C10" s="60">
        <f>0.15</f>
        <v>0.15</v>
      </c>
      <c r="D10" s="61"/>
      <c r="E10" s="61"/>
      <c r="F10" s="61">
        <v>5.5115749999999997</v>
      </c>
      <c r="G10" s="62">
        <v>9.1318329239921923</v>
      </c>
      <c r="H10" s="59">
        <f>(C10*D10)+(C10*F10)</f>
        <v>0.82673624999999995</v>
      </c>
      <c r="I10" s="59">
        <f>(C10*G10)</f>
        <v>1.3697749385988287</v>
      </c>
      <c r="J10" s="4"/>
      <c r="K10" s="4"/>
      <c r="L10" s="4"/>
      <c r="M10" s="4"/>
      <c r="N10" s="103"/>
      <c r="O10" s="142"/>
      <c r="P10" s="142"/>
      <c r="Q10" s="105"/>
    </row>
    <row r="11" spans="1:19" ht="15.6" x14ac:dyDescent="0.3">
      <c r="A11" s="4"/>
      <c r="B11" s="24" t="s">
        <v>4</v>
      </c>
      <c r="C11" s="63"/>
      <c r="D11" s="64"/>
      <c r="E11" s="64"/>
      <c r="F11" s="64"/>
      <c r="G11" s="65"/>
      <c r="H11" s="66">
        <f>SUM(H6:H8)</f>
        <v>181.35457712339743</v>
      </c>
      <c r="I11" s="65">
        <f>SUM(I6:I8)</f>
        <v>14.722090792431842</v>
      </c>
      <c r="J11" s="4"/>
      <c r="K11" s="4"/>
      <c r="L11" s="4"/>
      <c r="M11" s="4"/>
      <c r="N11" s="103">
        <v>21</v>
      </c>
      <c r="O11" s="142">
        <v>2205.5358673547989</v>
      </c>
      <c r="P11" s="142">
        <v>2270.680132832359</v>
      </c>
      <c r="Q11" s="149">
        <f>O11/P11</f>
        <v>0.97131068152857725</v>
      </c>
    </row>
    <row r="12" spans="1:19" ht="15.6" x14ac:dyDescent="0.3">
      <c r="A12" s="4"/>
      <c r="B12" s="7" t="s">
        <v>8</v>
      </c>
      <c r="C12" s="63"/>
      <c r="D12" s="64"/>
      <c r="E12" s="64"/>
      <c r="F12" s="64"/>
      <c r="G12" s="64"/>
      <c r="H12" s="64"/>
      <c r="I12" s="65"/>
      <c r="J12" s="4"/>
      <c r="K12" s="4"/>
      <c r="L12" s="4"/>
      <c r="M12" s="4"/>
      <c r="N12" s="103">
        <v>22</v>
      </c>
      <c r="O12" s="142">
        <v>2178.6247608274698</v>
      </c>
      <c r="P12" s="142">
        <v>2270.680132832359</v>
      </c>
      <c r="Q12" s="149">
        <f>O12/P12</f>
        <v>0.95945911946212215</v>
      </c>
    </row>
    <row r="13" spans="1:19" ht="15.6" x14ac:dyDescent="0.3">
      <c r="A13" s="4"/>
      <c r="B13" s="16" t="s">
        <v>33</v>
      </c>
      <c r="C13" s="56">
        <v>0.8</v>
      </c>
      <c r="D13" s="57">
        <f>D9</f>
        <v>14.0875</v>
      </c>
      <c r="E13" s="57"/>
      <c r="F13" s="57">
        <v>15.144425</v>
      </c>
      <c r="G13" s="57">
        <v>6.4185969257159483</v>
      </c>
      <c r="H13" s="57">
        <f>(C13*D13)+(C13*F13)</f>
        <v>23.385540000000002</v>
      </c>
      <c r="I13" s="67">
        <f>(C13*G13)</f>
        <v>5.1348775405727594</v>
      </c>
      <c r="J13" s="4"/>
      <c r="K13" s="4"/>
      <c r="L13" s="4"/>
      <c r="M13" s="4"/>
      <c r="N13" s="103">
        <v>23</v>
      </c>
      <c r="O13" s="142">
        <v>2251.3653641927212</v>
      </c>
      <c r="P13" s="142">
        <v>2270.680132832359</v>
      </c>
      <c r="Q13" s="149">
        <f>O13/P13</f>
        <v>0.99149383994673645</v>
      </c>
    </row>
    <row r="14" spans="1:19" ht="15.6" x14ac:dyDescent="0.3">
      <c r="A14" s="4"/>
      <c r="B14" s="22" t="s">
        <v>34</v>
      </c>
      <c r="C14" s="60">
        <v>0.8</v>
      </c>
      <c r="D14" s="68"/>
      <c r="E14" s="61"/>
      <c r="F14" s="61">
        <v>3.8028574468085106</v>
      </c>
      <c r="G14" s="61">
        <v>11.462791594793437</v>
      </c>
      <c r="H14" s="59">
        <f>(C14*D14)+(C14*F14)</f>
        <v>3.0422859574468086</v>
      </c>
      <c r="I14" s="62">
        <f>(C14*G14)</f>
        <v>9.1702332758347502</v>
      </c>
      <c r="J14" s="4"/>
      <c r="K14" s="4"/>
      <c r="L14" s="4"/>
      <c r="M14" s="4"/>
      <c r="N14" s="103"/>
      <c r="O14" s="142"/>
      <c r="P14" s="142"/>
      <c r="Q14" s="149"/>
    </row>
    <row r="15" spans="1:19" ht="15.6" x14ac:dyDescent="0.3">
      <c r="A15" s="4"/>
      <c r="B15" s="24" t="s">
        <v>4</v>
      </c>
      <c r="C15" s="63"/>
      <c r="D15" s="64"/>
      <c r="E15" s="64"/>
      <c r="F15" s="64"/>
      <c r="G15" s="64"/>
      <c r="H15" s="66">
        <f>SUM(H13:H14)</f>
        <v>26.42782595744681</v>
      </c>
      <c r="I15" s="65">
        <f>SUM(I13:I14)</f>
        <v>14.30511081640751</v>
      </c>
      <c r="J15" s="4"/>
      <c r="K15" s="4"/>
      <c r="L15" s="4"/>
      <c r="M15" s="4"/>
      <c r="N15" s="103"/>
      <c r="O15" s="142"/>
      <c r="P15" s="142"/>
      <c r="Q15" s="149"/>
    </row>
    <row r="16" spans="1:19" ht="15.6" x14ac:dyDescent="0.3">
      <c r="A16" s="4"/>
      <c r="B16" s="7" t="s">
        <v>35</v>
      </c>
      <c r="C16" s="63"/>
      <c r="D16" s="64"/>
      <c r="E16" s="64"/>
      <c r="F16" s="64"/>
      <c r="G16" s="64"/>
      <c r="H16" s="64"/>
      <c r="I16" s="65"/>
      <c r="J16" s="4"/>
      <c r="K16" s="4"/>
      <c r="L16" s="4"/>
      <c r="M16" s="4"/>
      <c r="N16" s="103"/>
      <c r="O16" s="142"/>
      <c r="P16" s="142"/>
      <c r="Q16" s="149"/>
    </row>
    <row r="17" spans="1:17" ht="15.6" x14ac:dyDescent="0.3">
      <c r="A17" s="4"/>
      <c r="B17" s="16" t="s">
        <v>36</v>
      </c>
      <c r="C17" s="56">
        <v>1</v>
      </c>
      <c r="D17" s="57">
        <v>26.486000000000001</v>
      </c>
      <c r="E17" s="57"/>
      <c r="F17" s="57">
        <f>F7</f>
        <v>21.026510456730769</v>
      </c>
      <c r="G17" s="57">
        <f>G7</f>
        <v>9.8784735279297031</v>
      </c>
      <c r="H17" s="57">
        <f>(C17*D17)+(C17*F17)</f>
        <v>47.512510456730766</v>
      </c>
      <c r="I17" s="57">
        <f>(C17*G17)</f>
        <v>9.8784735279297031</v>
      </c>
      <c r="J17" s="4" t="s">
        <v>88</v>
      </c>
      <c r="K17" s="4"/>
      <c r="L17" s="4"/>
      <c r="M17" s="4"/>
      <c r="N17" s="103"/>
      <c r="O17" s="142"/>
      <c r="P17" s="142"/>
      <c r="Q17" s="149"/>
    </row>
    <row r="18" spans="1:17" ht="15.6" x14ac:dyDescent="0.3">
      <c r="A18" s="4"/>
      <c r="B18" s="19" t="s">
        <v>37</v>
      </c>
      <c r="C18" s="58">
        <v>1</v>
      </c>
      <c r="D18" s="69"/>
      <c r="E18" s="69"/>
      <c r="F18" s="59">
        <v>9.6485405594405602</v>
      </c>
      <c r="G18" s="59">
        <v>11.30779940780098</v>
      </c>
      <c r="H18" s="59">
        <f>(C18*D18)+(C18*F18)</f>
        <v>9.6485405594405602</v>
      </c>
      <c r="I18" s="59">
        <f>(C18*G18)</f>
        <v>11.30779940780098</v>
      </c>
      <c r="J18" s="4" t="s">
        <v>89</v>
      </c>
      <c r="K18" s="4"/>
      <c r="L18" s="4"/>
      <c r="M18" s="4"/>
      <c r="N18" s="4"/>
      <c r="O18" s="4"/>
      <c r="P18" s="4"/>
    </row>
    <row r="19" spans="1:17" ht="15.6" x14ac:dyDescent="0.3">
      <c r="A19" s="4"/>
      <c r="B19" s="19" t="s">
        <v>90</v>
      </c>
      <c r="C19" s="58"/>
      <c r="D19" s="69"/>
      <c r="E19" s="69">
        <v>104.5</v>
      </c>
      <c r="F19" s="59"/>
      <c r="G19" s="59"/>
      <c r="H19" s="59">
        <f>E19</f>
        <v>104.5</v>
      </c>
      <c r="I19" s="59">
        <f>(C19*G19)</f>
        <v>0</v>
      </c>
      <c r="J19" s="4" t="s">
        <v>91</v>
      </c>
      <c r="K19" s="4"/>
      <c r="L19" s="4"/>
      <c r="M19" s="4"/>
      <c r="N19" s="4"/>
      <c r="O19" s="4"/>
      <c r="P19" s="4"/>
    </row>
    <row r="20" spans="1:17" ht="15.6" x14ac:dyDescent="0.3">
      <c r="A20" s="4"/>
      <c r="B20" s="19" t="s">
        <v>92</v>
      </c>
      <c r="C20" s="58"/>
      <c r="D20" s="69"/>
      <c r="E20" s="69">
        <v>175.32500000000002</v>
      </c>
      <c r="F20" s="59"/>
      <c r="G20" s="59"/>
      <c r="H20" s="59">
        <f>E20</f>
        <v>175.32500000000002</v>
      </c>
      <c r="I20" s="59">
        <f>(C20*G20)</f>
        <v>0</v>
      </c>
      <c r="J20" s="4"/>
      <c r="K20" s="4"/>
      <c r="L20" s="4"/>
      <c r="M20" s="4"/>
      <c r="N20" s="4"/>
      <c r="O20" s="4"/>
      <c r="P20" s="4"/>
    </row>
    <row r="21" spans="1:17" ht="15.6" x14ac:dyDescent="0.3">
      <c r="A21" s="4"/>
      <c r="B21" s="22" t="s">
        <v>93</v>
      </c>
      <c r="C21" s="60"/>
      <c r="D21" s="68"/>
      <c r="E21" s="68">
        <v>12.9</v>
      </c>
      <c r="F21" s="61"/>
      <c r="G21" s="61"/>
      <c r="H21" s="59">
        <f>E21</f>
        <v>12.9</v>
      </c>
      <c r="I21" s="59">
        <f>(C21*G21)</f>
        <v>0</v>
      </c>
      <c r="J21" s="4"/>
      <c r="K21" s="4"/>
      <c r="L21" s="4"/>
      <c r="M21" s="4"/>
      <c r="N21" s="4"/>
      <c r="O21" s="4"/>
      <c r="P21" s="4"/>
    </row>
    <row r="22" spans="1:17" ht="15.6" x14ac:dyDescent="0.3">
      <c r="A22" s="4"/>
      <c r="B22" s="24" t="s">
        <v>4</v>
      </c>
      <c r="C22" s="63"/>
      <c r="D22" s="64"/>
      <c r="E22" s="64"/>
      <c r="F22" s="64"/>
      <c r="G22" s="64"/>
      <c r="H22" s="66">
        <f>SUM(H17:H21)</f>
        <v>349.88605101617134</v>
      </c>
      <c r="I22" s="65">
        <f>SUM(I17:I21)</f>
        <v>21.186272935730685</v>
      </c>
      <c r="J22" s="4"/>
      <c r="K22" s="4"/>
      <c r="L22" s="4"/>
      <c r="M22" s="4"/>
      <c r="N22" s="4"/>
      <c r="O22" s="4"/>
      <c r="P22" s="4"/>
    </row>
    <row r="23" spans="1:17" ht="15.6" x14ac:dyDescent="0.3">
      <c r="A23" s="4"/>
      <c r="B23" s="7" t="s">
        <v>41</v>
      </c>
      <c r="C23" s="63"/>
      <c r="D23" s="64"/>
      <c r="E23" s="64"/>
      <c r="F23" s="64"/>
      <c r="G23" s="64"/>
      <c r="H23" s="64"/>
      <c r="I23" s="65"/>
      <c r="J23" s="4"/>
      <c r="K23" s="4"/>
      <c r="L23" s="4"/>
      <c r="M23" s="4"/>
      <c r="N23" s="4"/>
      <c r="O23" s="4"/>
      <c r="P23" s="4"/>
    </row>
    <row r="24" spans="1:17" ht="15.6" x14ac:dyDescent="0.3">
      <c r="A24" s="4"/>
      <c r="B24" s="34" t="s">
        <v>36</v>
      </c>
      <c r="C24" s="58">
        <f>(1.25*1/4)</f>
        <v>0.3125</v>
      </c>
      <c r="D24" s="57">
        <f>D9</f>
        <v>14.0875</v>
      </c>
      <c r="E24" s="57"/>
      <c r="F24" s="57">
        <f>F17</f>
        <v>21.026510456730769</v>
      </c>
      <c r="G24" s="57">
        <f>G17</f>
        <v>9.8784735279297031</v>
      </c>
      <c r="H24" s="57">
        <f>(C24*D24)+(C24*G24)</f>
        <v>7.489366727478032</v>
      </c>
      <c r="I24" s="57">
        <f>(C24*G24)</f>
        <v>3.087022977478032</v>
      </c>
      <c r="J24" s="4" t="s">
        <v>94</v>
      </c>
      <c r="K24" s="4"/>
      <c r="L24" s="4"/>
      <c r="M24" s="4"/>
      <c r="N24" s="4"/>
      <c r="O24" s="4"/>
      <c r="P24" s="4"/>
    </row>
    <row r="25" spans="1:17" ht="15.6" x14ac:dyDescent="0.3">
      <c r="A25" s="4"/>
      <c r="B25" s="35" t="s">
        <v>37</v>
      </c>
      <c r="C25" s="58">
        <f>(1.25*1/4)</f>
        <v>0.3125</v>
      </c>
      <c r="D25" s="59"/>
      <c r="E25" s="59"/>
      <c r="F25" s="59">
        <f>F18</f>
        <v>9.6485405594405602</v>
      </c>
      <c r="G25" s="59">
        <f>G18</f>
        <v>11.30779940780098</v>
      </c>
      <c r="H25" s="59">
        <f>(C25*D25)+(C25*F25)</f>
        <v>3.0151689248251752</v>
      </c>
      <c r="I25" s="59">
        <f>(C25*G25)</f>
        <v>3.5336873149378061</v>
      </c>
      <c r="J25" s="4"/>
      <c r="K25" s="4"/>
      <c r="L25" s="4"/>
      <c r="M25" s="4"/>
      <c r="N25" s="4"/>
      <c r="O25" s="4"/>
      <c r="P25" s="4"/>
    </row>
    <row r="26" spans="1:17" ht="15.6" x14ac:dyDescent="0.3">
      <c r="A26" s="4"/>
      <c r="B26" s="36" t="s">
        <v>38</v>
      </c>
      <c r="C26" s="60"/>
      <c r="D26" s="61"/>
      <c r="E26" s="61">
        <f>(2/4)</f>
        <v>0.5</v>
      </c>
      <c r="F26" s="61"/>
      <c r="G26" s="61"/>
      <c r="H26" s="61">
        <f>E26</f>
        <v>0.5</v>
      </c>
      <c r="I26" s="61">
        <f>(C26*G26)</f>
        <v>0</v>
      </c>
      <c r="J26" s="4"/>
      <c r="K26" s="4"/>
      <c r="L26" s="4"/>
      <c r="M26" s="4"/>
      <c r="N26" s="4"/>
      <c r="O26" s="4"/>
      <c r="P26" s="4"/>
    </row>
    <row r="27" spans="1:17" ht="15.6" x14ac:dyDescent="0.3">
      <c r="A27" s="4"/>
      <c r="B27" s="7" t="s">
        <v>4</v>
      </c>
      <c r="C27" s="70"/>
      <c r="D27" s="64"/>
      <c r="E27" s="64"/>
      <c r="F27" s="64"/>
      <c r="G27" s="65"/>
      <c r="H27" s="66">
        <f>SUM(H24:H26)</f>
        <v>11.004535652303208</v>
      </c>
      <c r="I27" s="66">
        <f>SUM(I24:I26)</f>
        <v>6.6207102924158381</v>
      </c>
      <c r="J27" s="4"/>
      <c r="K27" s="4"/>
      <c r="L27" s="4"/>
      <c r="M27" s="4"/>
      <c r="N27" s="4"/>
      <c r="O27" s="4"/>
      <c r="P27" s="4"/>
    </row>
    <row r="28" spans="1:17" ht="15.6" x14ac:dyDescent="0.3">
      <c r="A28" s="4"/>
      <c r="B28" s="7" t="s">
        <v>42</v>
      </c>
      <c r="C28" s="63"/>
      <c r="D28" s="64"/>
      <c r="E28" s="64"/>
      <c r="F28" s="64"/>
      <c r="G28" s="64"/>
      <c r="H28" s="64"/>
      <c r="I28" s="65"/>
      <c r="J28" s="4"/>
      <c r="K28" s="4"/>
      <c r="L28" s="4"/>
      <c r="M28" s="4"/>
      <c r="N28" s="4"/>
      <c r="O28" s="4"/>
      <c r="P28" s="4"/>
    </row>
    <row r="29" spans="1:17" ht="15.6" x14ac:dyDescent="0.3">
      <c r="A29" s="4"/>
      <c r="B29" s="16" t="s">
        <v>43</v>
      </c>
      <c r="C29" s="56">
        <v>1</v>
      </c>
      <c r="D29" s="57">
        <f>D17</f>
        <v>26.486000000000001</v>
      </c>
      <c r="E29" s="57"/>
      <c r="F29" s="57">
        <v>21.258254687499999</v>
      </c>
      <c r="G29" s="57">
        <v>2.0334779053453547</v>
      </c>
      <c r="H29" s="71">
        <f>(C29*D29)+(C29*F29)</f>
        <v>47.744254687500003</v>
      </c>
      <c r="I29" s="67">
        <f>(C29*G29)</f>
        <v>2.0334779053453547</v>
      </c>
      <c r="J29" s="4" t="s">
        <v>95</v>
      </c>
      <c r="K29" s="4"/>
      <c r="L29" s="4"/>
      <c r="M29" s="4"/>
      <c r="N29" s="4"/>
      <c r="O29" s="4"/>
      <c r="P29" s="4"/>
    </row>
    <row r="30" spans="1:17" ht="15.6" x14ac:dyDescent="0.3">
      <c r="A30" s="4"/>
      <c r="B30" s="19" t="s">
        <v>44</v>
      </c>
      <c r="C30" s="58">
        <v>1</v>
      </c>
      <c r="D30" s="59"/>
      <c r="E30" s="59"/>
      <c r="F30" s="59">
        <v>0.84090833333333326</v>
      </c>
      <c r="G30" s="59">
        <v>5.4738691606044858</v>
      </c>
      <c r="H30" s="72">
        <f>(C30*D30)+(C30*F30)</f>
        <v>0.84090833333333326</v>
      </c>
      <c r="I30" s="62">
        <f>(C30*G30)</f>
        <v>5.4738691606044858</v>
      </c>
      <c r="J30" s="4" t="s">
        <v>96</v>
      </c>
      <c r="K30" s="4"/>
      <c r="L30" s="4"/>
      <c r="M30" s="4"/>
      <c r="N30" s="4"/>
      <c r="O30" s="4"/>
      <c r="P30" s="4"/>
    </row>
    <row r="31" spans="1:17" ht="15.6" x14ac:dyDescent="0.3">
      <c r="A31" s="4"/>
      <c r="B31" s="22" t="s">
        <v>45</v>
      </c>
      <c r="C31" s="60"/>
      <c r="D31" s="61"/>
      <c r="E31" s="61">
        <v>13.587499999999999</v>
      </c>
      <c r="F31" s="61"/>
      <c r="G31" s="61"/>
      <c r="H31" s="73">
        <f>E31</f>
        <v>13.587499999999999</v>
      </c>
      <c r="I31" s="74">
        <f>(C31*G31)</f>
        <v>0</v>
      </c>
      <c r="J31" s="4"/>
      <c r="K31" s="4"/>
      <c r="L31" s="4"/>
      <c r="M31" s="4"/>
      <c r="N31" s="4"/>
      <c r="O31" s="4"/>
      <c r="P31" s="4"/>
    </row>
    <row r="32" spans="1:17" ht="15.6" x14ac:dyDescent="0.3">
      <c r="A32" s="4"/>
      <c r="B32" s="7" t="s">
        <v>4</v>
      </c>
      <c r="C32" s="70"/>
      <c r="D32" s="64"/>
      <c r="E32" s="64"/>
      <c r="F32" s="64"/>
      <c r="G32" s="65"/>
      <c r="H32" s="66">
        <f>SUM(H29:H31)</f>
        <v>62.172663020833333</v>
      </c>
      <c r="I32" s="65">
        <f>SUM(I29:I31)</f>
        <v>7.5073470659498405</v>
      </c>
      <c r="J32" s="4"/>
      <c r="K32" s="4"/>
      <c r="L32" s="4"/>
      <c r="M32" s="4"/>
      <c r="N32" s="4"/>
      <c r="O32" s="4"/>
      <c r="P32" s="4"/>
    </row>
    <row r="33" spans="1:16" ht="15.6" x14ac:dyDescent="0.3">
      <c r="A33" s="4"/>
      <c r="B33" s="7" t="s">
        <v>6</v>
      </c>
      <c r="C33" s="63"/>
      <c r="D33" s="64"/>
      <c r="E33" s="64"/>
      <c r="F33" s="64"/>
      <c r="G33" s="64"/>
      <c r="H33" s="64"/>
      <c r="I33" s="65"/>
      <c r="J33" s="4"/>
      <c r="K33" s="4"/>
      <c r="L33" s="4"/>
      <c r="M33" s="4"/>
      <c r="N33" s="4"/>
      <c r="O33" s="4"/>
      <c r="P33" s="4"/>
    </row>
    <row r="34" spans="1:16" ht="15.6" x14ac:dyDescent="0.3">
      <c r="A34" s="4"/>
      <c r="B34" s="16" t="s">
        <v>46</v>
      </c>
      <c r="C34" s="56">
        <f>(0.15*2)</f>
        <v>0.3</v>
      </c>
      <c r="D34" s="57">
        <f>D29</f>
        <v>26.486000000000001</v>
      </c>
      <c r="E34" s="57"/>
      <c r="F34" s="57">
        <f>F13</f>
        <v>15.144425</v>
      </c>
      <c r="G34" s="57">
        <f>G13</f>
        <v>6.4185969257159483</v>
      </c>
      <c r="H34" s="57">
        <f>(C34*D34)+(C34*F34)</f>
        <v>12.4891275</v>
      </c>
      <c r="I34" s="57">
        <f t="shared" ref="I34:I42" si="0">(C34*G34)</f>
        <v>1.9255790777147843</v>
      </c>
      <c r="J34" s="4" t="s">
        <v>97</v>
      </c>
      <c r="K34" s="4"/>
      <c r="L34" s="4"/>
      <c r="M34" s="4"/>
      <c r="N34" s="4"/>
      <c r="O34" s="4"/>
      <c r="P34" s="4"/>
    </row>
    <row r="35" spans="1:16" ht="15.6" x14ac:dyDescent="0.3">
      <c r="A35" s="4"/>
      <c r="B35" s="19" t="s">
        <v>48</v>
      </c>
      <c r="C35" s="58">
        <f>(0.15*2)</f>
        <v>0.3</v>
      </c>
      <c r="D35" s="59"/>
      <c r="E35" s="59"/>
      <c r="F35" s="59">
        <v>0.89632857142857125</v>
      </c>
      <c r="G35" s="59">
        <v>3.3216905146525328</v>
      </c>
      <c r="H35" s="59">
        <f>(C35*D35)+(C35*F35)</f>
        <v>0.26889857142857138</v>
      </c>
      <c r="I35" s="59">
        <f t="shared" si="0"/>
        <v>0.99650715439575976</v>
      </c>
      <c r="J35" s="4" t="s">
        <v>98</v>
      </c>
      <c r="K35" s="4"/>
      <c r="L35" s="4"/>
      <c r="M35" s="4"/>
      <c r="N35" s="4"/>
      <c r="O35" s="4"/>
      <c r="P35" s="4"/>
    </row>
    <row r="36" spans="1:16" ht="15.6" x14ac:dyDescent="0.3">
      <c r="A36" s="4"/>
      <c r="B36" s="19" t="s">
        <v>50</v>
      </c>
      <c r="C36" s="58">
        <f>(0.15*2)</f>
        <v>0.3</v>
      </c>
      <c r="D36" s="59">
        <f>D29</f>
        <v>26.486000000000001</v>
      </c>
      <c r="E36" s="59"/>
      <c r="F36" s="59">
        <f>F34</f>
        <v>15.144425</v>
      </c>
      <c r="G36" s="59">
        <f>G34</f>
        <v>6.4185969257159483</v>
      </c>
      <c r="H36" s="59">
        <f>(C36*D36)+(C36*F36)</f>
        <v>12.4891275</v>
      </c>
      <c r="I36" s="59">
        <f t="shared" si="0"/>
        <v>1.9255790777147843</v>
      </c>
      <c r="J36" s="4" t="s">
        <v>99</v>
      </c>
      <c r="K36" s="4"/>
      <c r="L36" s="4"/>
      <c r="M36" s="4"/>
      <c r="N36" s="4"/>
      <c r="O36" s="4"/>
      <c r="P36" s="4"/>
    </row>
    <row r="37" spans="1:16" ht="15.6" x14ac:dyDescent="0.3">
      <c r="A37" s="4"/>
      <c r="B37" s="19" t="s">
        <v>48</v>
      </c>
      <c r="C37" s="58">
        <f>(0.15*2)</f>
        <v>0.3</v>
      </c>
      <c r="D37" s="59"/>
      <c r="E37" s="59"/>
      <c r="F37" s="59">
        <f>F35</f>
        <v>0.89632857142857125</v>
      </c>
      <c r="G37" s="59">
        <f>G35</f>
        <v>3.3216905146525328</v>
      </c>
      <c r="H37" s="59">
        <f>(C37*D37)+(C37*F37)</f>
        <v>0.26889857142857138</v>
      </c>
      <c r="I37" s="59">
        <f t="shared" si="0"/>
        <v>0.99650715439575976</v>
      </c>
      <c r="J37" s="4" t="s">
        <v>100</v>
      </c>
      <c r="K37" s="4"/>
      <c r="L37" s="4"/>
      <c r="M37" s="4"/>
      <c r="N37" s="4"/>
      <c r="O37" s="4"/>
      <c r="P37" s="4"/>
    </row>
    <row r="38" spans="1:16" ht="15.6" x14ac:dyDescent="0.3">
      <c r="A38" s="4"/>
      <c r="B38" s="19" t="s">
        <v>101</v>
      </c>
      <c r="C38" s="58"/>
      <c r="D38" s="59"/>
      <c r="E38" s="59">
        <f>191.1</f>
        <v>191.1</v>
      </c>
      <c r="F38" s="59"/>
      <c r="G38" s="59"/>
      <c r="H38" s="59">
        <f>E38</f>
        <v>191.1</v>
      </c>
      <c r="I38" s="59">
        <f t="shared" si="0"/>
        <v>0</v>
      </c>
      <c r="J38" s="4"/>
      <c r="K38" s="4"/>
      <c r="L38" s="4"/>
      <c r="M38" s="4"/>
      <c r="N38" s="4"/>
      <c r="O38" s="4"/>
      <c r="P38" s="4"/>
    </row>
    <row r="39" spans="1:16" ht="15.6" x14ac:dyDescent="0.3">
      <c r="A39" s="4"/>
      <c r="B39" s="19" t="s">
        <v>102</v>
      </c>
      <c r="C39" s="58"/>
      <c r="D39" s="59"/>
      <c r="E39" s="59">
        <f>60</f>
        <v>60</v>
      </c>
      <c r="F39" s="59"/>
      <c r="G39" s="59"/>
      <c r="H39" s="59">
        <f>E39</f>
        <v>60</v>
      </c>
      <c r="I39" s="59">
        <f t="shared" si="0"/>
        <v>0</v>
      </c>
      <c r="J39" s="4"/>
      <c r="K39" s="4"/>
      <c r="L39" s="4"/>
      <c r="M39" s="4"/>
      <c r="N39" s="4"/>
      <c r="O39" s="4"/>
      <c r="P39" s="4"/>
    </row>
    <row r="40" spans="1:16" ht="15.6" x14ac:dyDescent="0.3">
      <c r="A40" s="4"/>
      <c r="B40" s="19" t="s">
        <v>53</v>
      </c>
      <c r="C40" s="58">
        <f>0.15*1/5*2</f>
        <v>0.06</v>
      </c>
      <c r="D40" s="59">
        <f>D36</f>
        <v>26.486000000000001</v>
      </c>
      <c r="E40" s="59"/>
      <c r="F40" s="59">
        <f>F34</f>
        <v>15.144425</v>
      </c>
      <c r="G40" s="59">
        <f>G36</f>
        <v>6.4185969257159483</v>
      </c>
      <c r="H40" s="59">
        <f>(C40*D40)+(C40*F40)</f>
        <v>2.4978254999999998</v>
      </c>
      <c r="I40" s="59">
        <f t="shared" si="0"/>
        <v>0.38511581554295687</v>
      </c>
      <c r="J40" s="4"/>
      <c r="K40" s="4"/>
      <c r="L40" s="4"/>
      <c r="M40" s="4"/>
      <c r="N40" s="4"/>
      <c r="O40" s="4"/>
      <c r="P40" s="4"/>
    </row>
    <row r="41" spans="1:16" ht="15.6" x14ac:dyDescent="0.3">
      <c r="A41" s="4"/>
      <c r="B41" s="19" t="s">
        <v>48</v>
      </c>
      <c r="C41" s="58">
        <f>0.15*1/5*2</f>
        <v>0.06</v>
      </c>
      <c r="D41" s="59"/>
      <c r="E41" s="59"/>
      <c r="F41" s="59">
        <f>F37</f>
        <v>0.89632857142857125</v>
      </c>
      <c r="G41" s="59">
        <f>G37</f>
        <v>3.3216905146525328</v>
      </c>
      <c r="H41" s="59">
        <f>(C41*D41)+(C41*F41)</f>
        <v>5.3779714285714271E-2</v>
      </c>
      <c r="I41" s="59">
        <f t="shared" si="0"/>
        <v>0.19930143087915198</v>
      </c>
      <c r="J41" s="4"/>
      <c r="K41" s="4"/>
      <c r="L41" s="4"/>
      <c r="M41" s="4"/>
      <c r="N41" s="4"/>
      <c r="O41" s="4"/>
      <c r="P41" s="4"/>
    </row>
    <row r="42" spans="1:16" ht="15.6" x14ac:dyDescent="0.3">
      <c r="A42" s="4"/>
      <c r="B42" s="22" t="s">
        <v>54</v>
      </c>
      <c r="C42" s="60"/>
      <c r="D42" s="61"/>
      <c r="E42" s="61">
        <f>(25*2*1/5)*2</f>
        <v>20</v>
      </c>
      <c r="F42" s="61"/>
      <c r="G42" s="61"/>
      <c r="H42" s="61">
        <f>E42</f>
        <v>20</v>
      </c>
      <c r="I42" s="61">
        <f t="shared" si="0"/>
        <v>0</v>
      </c>
      <c r="J42" s="4"/>
      <c r="K42" s="4"/>
      <c r="L42" s="4"/>
      <c r="M42" s="4"/>
      <c r="N42" s="4"/>
      <c r="O42" s="4"/>
      <c r="P42" s="4"/>
    </row>
    <row r="43" spans="1:16" ht="15.6" x14ac:dyDescent="0.3">
      <c r="A43" s="4"/>
      <c r="B43" s="7" t="s">
        <v>4</v>
      </c>
      <c r="C43" s="70"/>
      <c r="D43" s="64"/>
      <c r="E43" s="64"/>
      <c r="F43" s="64"/>
      <c r="G43" s="64"/>
      <c r="H43" s="66">
        <f>SUM(H34:H42)</f>
        <v>299.16765735714284</v>
      </c>
      <c r="I43" s="65">
        <f>SUM(I34:I42)</f>
        <v>6.4285897106431973</v>
      </c>
      <c r="J43" s="4"/>
      <c r="K43" s="4"/>
      <c r="L43" s="4"/>
      <c r="M43" s="4"/>
      <c r="N43" s="4"/>
      <c r="O43" s="4"/>
      <c r="P43" s="4"/>
    </row>
    <row r="44" spans="1:16" ht="15.6" x14ac:dyDescent="0.3">
      <c r="A44" s="4"/>
      <c r="B44" s="24" t="s">
        <v>55</v>
      </c>
      <c r="C44" s="56"/>
      <c r="D44" s="57"/>
      <c r="E44" s="57">
        <v>18.150000000000002</v>
      </c>
      <c r="F44" s="57"/>
      <c r="G44" s="57"/>
      <c r="H44" s="57">
        <f>E44</f>
        <v>18.150000000000002</v>
      </c>
      <c r="I44" s="57">
        <v>0</v>
      </c>
      <c r="J44" s="4"/>
      <c r="K44" s="4"/>
      <c r="L44" s="4"/>
      <c r="M44" s="4"/>
      <c r="N44" s="4"/>
      <c r="O44" s="4"/>
      <c r="P44" s="4"/>
    </row>
    <row r="45" spans="1:16" ht="15.6" x14ac:dyDescent="0.3">
      <c r="A45" s="4"/>
      <c r="B45" s="24" t="s">
        <v>56</v>
      </c>
      <c r="C45" s="58"/>
      <c r="D45" s="59"/>
      <c r="E45" s="59">
        <v>25</v>
      </c>
      <c r="F45" s="59"/>
      <c r="G45" s="59"/>
      <c r="H45" s="59">
        <f>E45</f>
        <v>25</v>
      </c>
      <c r="I45" s="59">
        <v>0</v>
      </c>
      <c r="J45" s="4"/>
      <c r="K45" s="4"/>
      <c r="L45" s="4"/>
      <c r="M45" s="4"/>
      <c r="N45" s="4"/>
      <c r="O45" s="4"/>
      <c r="P45" s="4"/>
    </row>
    <row r="46" spans="1:16" ht="15.6" x14ac:dyDescent="0.3">
      <c r="A46" s="4"/>
      <c r="B46" s="24" t="s">
        <v>57</v>
      </c>
      <c r="C46" s="60"/>
      <c r="D46" s="61"/>
      <c r="E46" s="61"/>
      <c r="F46" s="61">
        <v>20</v>
      </c>
      <c r="G46" s="61">
        <v>4</v>
      </c>
      <c r="H46" s="61">
        <f>F46</f>
        <v>20</v>
      </c>
      <c r="I46" s="61">
        <f>4</f>
        <v>4</v>
      </c>
      <c r="J46" s="4"/>
      <c r="K46" s="4"/>
      <c r="L46" s="4"/>
      <c r="M46" s="4"/>
      <c r="N46" s="4"/>
      <c r="O46" s="4"/>
      <c r="P46" s="4"/>
    </row>
    <row r="47" spans="1:16" ht="15.6" x14ac:dyDescent="0.3">
      <c r="A47" s="4"/>
      <c r="B47" s="7"/>
      <c r="C47" s="63"/>
      <c r="D47" s="64"/>
      <c r="E47" s="64"/>
      <c r="F47" s="64"/>
      <c r="G47" s="64"/>
      <c r="H47" s="64"/>
      <c r="I47" s="65"/>
      <c r="J47" s="4"/>
      <c r="K47" s="4"/>
      <c r="L47" s="4"/>
      <c r="M47" s="4"/>
      <c r="N47" s="4"/>
      <c r="O47" s="4"/>
      <c r="P47" s="4"/>
    </row>
    <row r="48" spans="1:16" ht="15.6" x14ac:dyDescent="0.3">
      <c r="A48" s="4"/>
      <c r="B48" s="7" t="s">
        <v>58</v>
      </c>
      <c r="C48" s="70"/>
      <c r="D48" s="64"/>
      <c r="E48" s="64"/>
      <c r="F48" s="64"/>
      <c r="G48" s="64"/>
      <c r="H48" s="66">
        <f>SUM(H46+H45+H44+H43+H32+H27+H22+H15+H11)</f>
        <v>993.16331012729495</v>
      </c>
      <c r="I48" s="66">
        <f>SUM(I46+I45+I44+I43+I32+I27+I22+I15+I11)</f>
        <v>74.770121613578908</v>
      </c>
      <c r="J48" s="4"/>
      <c r="K48" s="4"/>
      <c r="L48" s="4"/>
      <c r="M48" s="4"/>
      <c r="N48" s="4"/>
      <c r="O48" s="4"/>
      <c r="P48" s="4"/>
    </row>
    <row r="49" spans="1:16" ht="15.6" x14ac:dyDescent="0.3">
      <c r="A49" s="4"/>
      <c r="B49" s="42"/>
      <c r="C49" s="63"/>
      <c r="D49" s="64"/>
      <c r="E49" s="64"/>
      <c r="F49" s="64"/>
      <c r="G49" s="64"/>
      <c r="H49" s="64"/>
      <c r="I49" s="65"/>
      <c r="J49" s="4"/>
      <c r="K49" s="4"/>
      <c r="L49" s="4"/>
      <c r="M49" s="4"/>
      <c r="N49" s="4"/>
      <c r="O49" s="4"/>
      <c r="P49" s="4"/>
    </row>
    <row r="50" spans="1:16" ht="15.6" x14ac:dyDescent="0.3">
      <c r="A50" s="4"/>
      <c r="B50" s="24" t="s">
        <v>59</v>
      </c>
      <c r="C50" s="63"/>
      <c r="D50" s="64"/>
      <c r="E50" s="64"/>
      <c r="F50" s="64"/>
      <c r="G50" s="64"/>
      <c r="H50" s="64"/>
      <c r="I50" s="65"/>
      <c r="J50" s="4"/>
      <c r="K50" s="4"/>
      <c r="L50" s="4"/>
      <c r="M50" s="4"/>
      <c r="N50" s="4"/>
      <c r="O50" s="4"/>
      <c r="P50" s="4"/>
    </row>
    <row r="51" spans="1:16" ht="15.6" x14ac:dyDescent="0.3">
      <c r="A51" s="4"/>
      <c r="B51" s="34" t="s">
        <v>60</v>
      </c>
      <c r="C51" s="56">
        <v>0.25</v>
      </c>
      <c r="D51" s="57">
        <f>D40</f>
        <v>26.486000000000001</v>
      </c>
      <c r="E51" s="57"/>
      <c r="F51" s="57">
        <f>F24</f>
        <v>21.026510456730769</v>
      </c>
      <c r="G51" s="57">
        <f>G24</f>
        <v>9.8784735279297031</v>
      </c>
      <c r="H51" s="57">
        <f>(C51*D51)+(C51*F51)</f>
        <v>11.878127614182691</v>
      </c>
      <c r="I51" s="67">
        <f>(C51*G51)</f>
        <v>2.4696183819824258</v>
      </c>
      <c r="J51" s="4"/>
      <c r="K51" s="4"/>
      <c r="L51" s="4"/>
      <c r="M51" s="4"/>
      <c r="N51" s="4"/>
      <c r="O51" s="4"/>
      <c r="P51" s="4"/>
    </row>
    <row r="52" spans="1:16" ht="15.6" x14ac:dyDescent="0.3">
      <c r="A52" s="4"/>
      <c r="B52" s="35" t="s">
        <v>61</v>
      </c>
      <c r="C52" s="58">
        <v>0.25</v>
      </c>
      <c r="D52" s="59"/>
      <c r="E52" s="59"/>
      <c r="F52" s="59">
        <f>F25</f>
        <v>9.6485405594405602</v>
      </c>
      <c r="G52" s="59">
        <f>G25</f>
        <v>11.30779940780098</v>
      </c>
      <c r="H52" s="59">
        <f>(C52*D52)+(C52*F52)</f>
        <v>2.4121351398601401</v>
      </c>
      <c r="I52" s="62">
        <f>(C52*G52)</f>
        <v>2.826949851950245</v>
      </c>
      <c r="J52" s="4"/>
      <c r="K52" s="4"/>
      <c r="L52" s="4"/>
      <c r="M52" s="4"/>
      <c r="N52" s="4"/>
      <c r="O52" s="4"/>
      <c r="P52" s="4"/>
    </row>
    <row r="53" spans="1:16" ht="15.6" x14ac:dyDescent="0.3">
      <c r="A53" s="4"/>
      <c r="B53" s="36" t="s">
        <v>62</v>
      </c>
      <c r="C53" s="60"/>
      <c r="D53" s="61"/>
      <c r="E53" s="61">
        <v>4.1999999999999993</v>
      </c>
      <c r="F53" s="61"/>
      <c r="G53" s="61"/>
      <c r="H53" s="61">
        <f>E53</f>
        <v>4.1999999999999993</v>
      </c>
      <c r="I53" s="74">
        <f>(C53*G53)</f>
        <v>0</v>
      </c>
      <c r="J53" s="4"/>
      <c r="K53" s="4"/>
      <c r="L53" s="4"/>
      <c r="M53" s="4"/>
      <c r="N53" s="4"/>
      <c r="O53" s="4"/>
      <c r="P53" s="4"/>
    </row>
    <row r="54" spans="1:16" ht="15.6" x14ac:dyDescent="0.3">
      <c r="A54" s="4"/>
      <c r="B54" s="75" t="s">
        <v>106</v>
      </c>
      <c r="C54" s="76">
        <f>(((12.5/60)*453)/60)</f>
        <v>1.5729166666666667</v>
      </c>
      <c r="D54" s="57">
        <f>D51</f>
        <v>26.486000000000001</v>
      </c>
      <c r="E54" s="57"/>
      <c r="F54" s="57">
        <v>28.348592592592592</v>
      </c>
      <c r="G54" s="57">
        <v>29.224565790608509</v>
      </c>
      <c r="H54" s="57">
        <f>(C54*D54)+(C54*F54)</f>
        <v>86.250244598765434</v>
      </c>
      <c r="I54" s="57">
        <f>(C54*G54)</f>
        <v>45.967806608144635</v>
      </c>
      <c r="J54" s="4" t="s">
        <v>103</v>
      </c>
      <c r="K54" s="4"/>
      <c r="L54" s="4"/>
      <c r="M54" s="4"/>
      <c r="N54" s="4"/>
      <c r="O54" s="4"/>
      <c r="P54" s="4"/>
    </row>
    <row r="55" spans="1:16" ht="15.6" x14ac:dyDescent="0.3">
      <c r="A55" s="4"/>
      <c r="B55" s="35" t="s">
        <v>36</v>
      </c>
      <c r="C55" s="77">
        <f>(((12.5/60)*453)/60)</f>
        <v>1.5729166666666667</v>
      </c>
      <c r="D55" s="59">
        <f>D24</f>
        <v>14.0875</v>
      </c>
      <c r="E55" s="59"/>
      <c r="F55" s="59">
        <v>21.026510456730769</v>
      </c>
      <c r="G55" s="59">
        <v>9.8784735279297031</v>
      </c>
      <c r="H55" s="59">
        <f>(C55*D55)+(C55*F55)</f>
        <v>55.231412280899441</v>
      </c>
      <c r="I55" s="59">
        <f t="shared" ref="I55:I61" si="1">(C55*G55)</f>
        <v>15.538015653306097</v>
      </c>
      <c r="J55" s="4" t="s">
        <v>104</v>
      </c>
      <c r="K55" s="4"/>
      <c r="L55" s="4"/>
      <c r="M55" s="4"/>
      <c r="N55" s="4"/>
      <c r="O55" s="4"/>
      <c r="P55" s="4"/>
    </row>
    <row r="56" spans="1:16" ht="15.6" x14ac:dyDescent="0.3">
      <c r="A56" s="4"/>
      <c r="B56" s="35" t="s">
        <v>67</v>
      </c>
      <c r="C56" s="77">
        <f>(((12.5/60)*453)/60)</f>
        <v>1.5729166666666667</v>
      </c>
      <c r="D56" s="59">
        <f>D55</f>
        <v>14.0875</v>
      </c>
      <c r="E56" s="59"/>
      <c r="F56" s="59">
        <v>15.144425</v>
      </c>
      <c r="G56" s="59">
        <v>6.4185969257159483</v>
      </c>
      <c r="H56" s="59">
        <f>(C56*D56)+(C56*F56)</f>
        <v>45.979382031250005</v>
      </c>
      <c r="I56" s="59">
        <f t="shared" si="1"/>
        <v>10.095918081074045</v>
      </c>
      <c r="J56" s="4"/>
      <c r="K56" s="4"/>
      <c r="L56" s="4"/>
      <c r="M56" s="4"/>
      <c r="N56" s="4"/>
      <c r="O56" s="4"/>
      <c r="P56" s="4"/>
    </row>
    <row r="57" spans="1:16" ht="15.6" x14ac:dyDescent="0.3">
      <c r="A57" s="4"/>
      <c r="B57" s="35" t="s">
        <v>68</v>
      </c>
      <c r="C57" s="77">
        <v>0.8</v>
      </c>
      <c r="D57" s="59">
        <f>D56</f>
        <v>14.0875</v>
      </c>
      <c r="E57" s="59"/>
      <c r="F57" s="59">
        <v>21.258254687499999</v>
      </c>
      <c r="G57" s="59">
        <v>2.0334779053453547</v>
      </c>
      <c r="H57" s="59">
        <f>(C57*D57)+(C57*F57)</f>
        <v>28.27660375</v>
      </c>
      <c r="I57" s="59">
        <f t="shared" si="1"/>
        <v>1.6267823242762838</v>
      </c>
      <c r="J57" s="4"/>
      <c r="K57" s="4"/>
      <c r="L57" s="4"/>
      <c r="M57" s="4"/>
      <c r="N57" s="4"/>
      <c r="O57" s="4"/>
      <c r="P57" s="4"/>
    </row>
    <row r="58" spans="1:16" ht="15.6" x14ac:dyDescent="0.3">
      <c r="A58" s="4"/>
      <c r="B58" s="46" t="s">
        <v>69</v>
      </c>
      <c r="C58" s="19">
        <v>2</v>
      </c>
      <c r="D58" s="59">
        <v>12.25</v>
      </c>
      <c r="E58" s="59"/>
      <c r="F58" s="59"/>
      <c r="G58" s="59"/>
      <c r="H58" s="59">
        <f>(C58*D58)+(C58*F58)</f>
        <v>24.5</v>
      </c>
      <c r="I58" s="59">
        <f t="shared" si="1"/>
        <v>0</v>
      </c>
      <c r="J58" s="4"/>
      <c r="K58" s="4"/>
      <c r="L58" s="4"/>
      <c r="M58" s="4"/>
      <c r="N58" s="4"/>
      <c r="O58" s="4"/>
      <c r="P58" s="4"/>
    </row>
    <row r="59" spans="1:16" ht="15.6" x14ac:dyDescent="0.3">
      <c r="A59" s="4"/>
      <c r="B59" s="46" t="s">
        <v>70</v>
      </c>
      <c r="C59" s="19"/>
      <c r="D59" s="59"/>
      <c r="E59" s="59"/>
      <c r="F59" s="59"/>
      <c r="G59" s="59"/>
      <c r="H59" s="59">
        <f>(0.016*I2)</f>
        <v>92.159999999999911</v>
      </c>
      <c r="I59" s="59">
        <f t="shared" si="1"/>
        <v>0</v>
      </c>
      <c r="J59" s="4"/>
      <c r="K59" s="4"/>
      <c r="L59" s="4"/>
      <c r="M59" s="4"/>
      <c r="N59" s="4"/>
      <c r="O59" s="4"/>
      <c r="P59" s="4"/>
    </row>
    <row r="60" spans="1:16" ht="15.6" x14ac:dyDescent="0.3">
      <c r="A60" s="4"/>
      <c r="B60" s="46" t="s">
        <v>71</v>
      </c>
      <c r="C60" s="19"/>
      <c r="D60" s="19"/>
      <c r="E60" s="59"/>
      <c r="F60" s="59"/>
      <c r="G60" s="59"/>
      <c r="H60" s="59">
        <f>(0.006*I2)</f>
        <v>34.559999999999967</v>
      </c>
      <c r="I60" s="59">
        <f t="shared" si="1"/>
        <v>0</v>
      </c>
      <c r="J60" s="4"/>
      <c r="K60" s="4"/>
      <c r="L60" s="4"/>
      <c r="M60" s="4"/>
      <c r="N60" s="4"/>
      <c r="O60" s="4"/>
      <c r="P60" s="4"/>
    </row>
    <row r="61" spans="1:16" ht="15.6" x14ac:dyDescent="0.3">
      <c r="A61" s="4"/>
      <c r="B61" s="46" t="s">
        <v>72</v>
      </c>
      <c r="C61" s="19"/>
      <c r="D61" s="19"/>
      <c r="E61" s="59"/>
      <c r="F61" s="59"/>
      <c r="G61" s="59"/>
      <c r="H61" s="59">
        <f>(0.005*I2)</f>
        <v>28.799999999999972</v>
      </c>
      <c r="I61" s="59">
        <f t="shared" si="1"/>
        <v>0</v>
      </c>
      <c r="J61" s="4"/>
      <c r="K61" s="4"/>
      <c r="L61" s="4"/>
      <c r="M61" s="4"/>
      <c r="N61" s="4"/>
      <c r="O61" s="4"/>
      <c r="P61" s="4"/>
    </row>
    <row r="62" spans="1:16" ht="15.6" x14ac:dyDescent="0.3">
      <c r="A62" s="4"/>
      <c r="B62" s="47" t="s">
        <v>4</v>
      </c>
      <c r="C62" s="42"/>
      <c r="D62" s="5"/>
      <c r="E62" s="64"/>
      <c r="F62" s="64"/>
      <c r="G62" s="65"/>
      <c r="H62" s="66">
        <f>SUM(H51:H61)</f>
        <v>414.24790541495753</v>
      </c>
      <c r="I62" s="66">
        <f>SUM(I51:I61)</f>
        <v>78.52509090073373</v>
      </c>
      <c r="J62" s="4"/>
      <c r="K62" s="4"/>
      <c r="L62" s="4"/>
      <c r="M62" s="4"/>
      <c r="N62" s="4"/>
      <c r="O62" s="4"/>
      <c r="P62" s="4"/>
    </row>
    <row r="63" spans="1:16" ht="15.6" x14ac:dyDescent="0.3">
      <c r="A63" s="4"/>
      <c r="B63" s="24" t="s">
        <v>73</v>
      </c>
      <c r="C63" s="9">
        <v>6</v>
      </c>
      <c r="D63" s="78">
        <v>33.770000000000003</v>
      </c>
      <c r="E63" s="66"/>
      <c r="F63" s="66"/>
      <c r="G63" s="66"/>
      <c r="H63" s="66">
        <f>(C63*D63)</f>
        <v>202.62</v>
      </c>
      <c r="I63" s="66">
        <v>0</v>
      </c>
      <c r="J63" s="4"/>
      <c r="K63" s="4"/>
      <c r="L63" s="4"/>
      <c r="M63" s="4"/>
      <c r="N63" s="4"/>
      <c r="O63" s="4"/>
      <c r="P63" s="4"/>
    </row>
    <row r="64" spans="1:16" ht="15.6" x14ac:dyDescent="0.3">
      <c r="A64" s="4"/>
      <c r="B64" s="24" t="s">
        <v>74</v>
      </c>
      <c r="C64" s="9"/>
      <c r="D64" s="78"/>
      <c r="E64" s="66"/>
      <c r="F64" s="66"/>
      <c r="G64" s="66"/>
      <c r="H64" s="66">
        <f>(((8/12)*H48)*0.08)+((2/12)*H62*0.08)</f>
        <v>58.492015278988497</v>
      </c>
      <c r="I64" s="66">
        <v>0</v>
      </c>
      <c r="J64" s="4"/>
      <c r="K64" s="4"/>
      <c r="L64" s="4"/>
      <c r="M64" s="4"/>
      <c r="N64" s="4"/>
      <c r="O64" s="4"/>
      <c r="P64" s="4"/>
    </row>
    <row r="65" spans="1:16" ht="15.6" x14ac:dyDescent="0.3">
      <c r="A65" s="4"/>
      <c r="B65" s="24" t="s">
        <v>75</v>
      </c>
      <c r="C65" s="9"/>
      <c r="D65" s="9"/>
      <c r="E65" s="66"/>
      <c r="F65" s="66"/>
      <c r="G65" s="66"/>
      <c r="H65" s="66">
        <v>30</v>
      </c>
      <c r="I65" s="66">
        <v>0</v>
      </c>
      <c r="J65" s="4"/>
      <c r="K65" s="4"/>
      <c r="L65" s="4"/>
      <c r="M65" s="4"/>
      <c r="N65" s="4"/>
      <c r="O65" s="4"/>
      <c r="P65" s="4"/>
    </row>
    <row r="66" spans="1:16" ht="15.6" x14ac:dyDescent="0.3">
      <c r="A66" s="4"/>
      <c r="B66" s="42" t="s">
        <v>76</v>
      </c>
      <c r="C66" s="42"/>
      <c r="D66" s="5"/>
      <c r="E66" s="64"/>
      <c r="F66" s="64"/>
      <c r="G66" s="65"/>
      <c r="H66" s="66">
        <f>SUM(H65+H64+H63+H62+H48)</f>
        <v>1698.523230821241</v>
      </c>
      <c r="I66" s="65">
        <f>SUM(I65+I64+I63+I62+I48)</f>
        <v>153.29521251431265</v>
      </c>
      <c r="J66" s="4"/>
      <c r="K66" s="4"/>
      <c r="L66" s="4"/>
      <c r="M66" s="4"/>
      <c r="N66" s="4"/>
      <c r="O66" s="4"/>
      <c r="P66" s="4"/>
    </row>
    <row r="67" spans="1:16" ht="15.6" x14ac:dyDescent="0.3">
      <c r="A67" s="4"/>
      <c r="B67" s="13" t="s">
        <v>77</v>
      </c>
      <c r="C67" s="36"/>
      <c r="D67" s="79"/>
      <c r="E67" s="80"/>
      <c r="F67" s="80"/>
      <c r="G67" s="74"/>
      <c r="H67" s="166">
        <f>SUM(H66:I66)</f>
        <v>1851.8184433355536</v>
      </c>
      <c r="I67" s="74"/>
      <c r="J67" s="4"/>
      <c r="K67" s="4"/>
      <c r="L67" s="4"/>
      <c r="M67" s="4"/>
      <c r="N67" s="4"/>
      <c r="O67" s="4"/>
      <c r="P67" s="4"/>
    </row>
    <row r="68" spans="1:16" ht="15.6" x14ac:dyDescent="0.3">
      <c r="A68" s="4"/>
      <c r="B68" s="4"/>
      <c r="C68" s="4"/>
      <c r="D68" s="4"/>
      <c r="E68" s="81"/>
      <c r="F68" s="81"/>
      <c r="G68" s="81"/>
      <c r="H68" s="81"/>
      <c r="I68" s="81"/>
      <c r="J68" s="4"/>
      <c r="K68" s="4"/>
      <c r="L68" s="4"/>
      <c r="M68" s="4"/>
    </row>
    <row r="69" spans="1:16" ht="15.6" x14ac:dyDescent="0.3">
      <c r="A69" s="4"/>
      <c r="B69" s="4"/>
      <c r="C69" s="4"/>
      <c r="D69" s="4"/>
      <c r="E69" s="4"/>
      <c r="F69" s="4"/>
      <c r="G69" s="4"/>
      <c r="H69" s="4"/>
      <c r="I69" s="4"/>
      <c r="J69" s="4"/>
      <c r="K69" s="4"/>
      <c r="L69" s="4"/>
      <c r="M69" s="4"/>
    </row>
    <row r="70" spans="1:16" x14ac:dyDescent="0.3">
      <c r="B70" s="82"/>
      <c r="C70" s="82"/>
      <c r="D70" s="82"/>
      <c r="E70" s="82"/>
      <c r="F70" s="82"/>
      <c r="G70" s="82"/>
      <c r="H70" s="82"/>
      <c r="I70" s="82"/>
      <c r="J70" s="82"/>
      <c r="K70" s="82"/>
      <c r="L70" s="82"/>
    </row>
  </sheetData>
  <mergeCells count="3">
    <mergeCell ref="B2:H2"/>
    <mergeCell ref="F3:G3"/>
    <mergeCell ref="H3:I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D30"/>
  <sheetViews>
    <sheetView workbookViewId="0">
      <selection activeCell="T12" sqref="T12"/>
    </sheetView>
  </sheetViews>
  <sheetFormatPr defaultRowHeight="14.4" x14ac:dyDescent="0.3"/>
  <sheetData>
    <row r="6" spans="1:4" x14ac:dyDescent="0.3">
      <c r="A6" t="s">
        <v>107</v>
      </c>
      <c r="B6" t="s">
        <v>169</v>
      </c>
      <c r="C6" t="s">
        <v>170</v>
      </c>
      <c r="D6" t="s">
        <v>171</v>
      </c>
    </row>
    <row r="7" spans="1:4" x14ac:dyDescent="0.3">
      <c r="A7">
        <v>0</v>
      </c>
    </row>
    <row r="8" spans="1:4" x14ac:dyDescent="0.3">
      <c r="A8">
        <f>A7+1</f>
        <v>1</v>
      </c>
      <c r="B8">
        <v>0</v>
      </c>
      <c r="C8">
        <v>0</v>
      </c>
      <c r="D8">
        <v>0</v>
      </c>
    </row>
    <row r="9" spans="1:4" x14ac:dyDescent="0.3">
      <c r="A9" s="102">
        <f t="shared" ref="A9:A29" si="0">A8+1</f>
        <v>2</v>
      </c>
      <c r="B9">
        <v>0</v>
      </c>
      <c r="C9">
        <v>0</v>
      </c>
      <c r="D9">
        <v>0</v>
      </c>
    </row>
    <row r="10" spans="1:4" x14ac:dyDescent="0.3">
      <c r="A10" s="102">
        <f t="shared" si="0"/>
        <v>3</v>
      </c>
      <c r="B10">
        <v>0</v>
      </c>
      <c r="C10">
        <v>0</v>
      </c>
      <c r="D10">
        <v>0</v>
      </c>
    </row>
    <row r="11" spans="1:4" x14ac:dyDescent="0.3">
      <c r="A11" s="102">
        <f t="shared" si="0"/>
        <v>4</v>
      </c>
      <c r="B11">
        <v>2505</v>
      </c>
      <c r="C11">
        <v>3340</v>
      </c>
      <c r="D11">
        <v>4175</v>
      </c>
    </row>
    <row r="12" spans="1:4" x14ac:dyDescent="0.3">
      <c r="A12" s="102">
        <f t="shared" si="0"/>
        <v>5</v>
      </c>
      <c r="B12">
        <v>4995</v>
      </c>
      <c r="C12">
        <v>6660</v>
      </c>
      <c r="D12">
        <v>8325</v>
      </c>
    </row>
    <row r="13" spans="1:4" x14ac:dyDescent="0.3">
      <c r="A13" s="102">
        <f t="shared" si="0"/>
        <v>6</v>
      </c>
      <c r="B13">
        <v>7500</v>
      </c>
      <c r="C13">
        <v>10000</v>
      </c>
      <c r="D13">
        <v>12500</v>
      </c>
    </row>
    <row r="14" spans="1:4" x14ac:dyDescent="0.3">
      <c r="A14" s="102">
        <f t="shared" si="0"/>
        <v>7</v>
      </c>
      <c r="B14">
        <v>10005</v>
      </c>
      <c r="C14">
        <v>13340</v>
      </c>
      <c r="D14">
        <v>16675</v>
      </c>
    </row>
    <row r="15" spans="1:4" x14ac:dyDescent="0.3">
      <c r="A15" s="102">
        <f t="shared" si="0"/>
        <v>8</v>
      </c>
      <c r="B15">
        <v>12495</v>
      </c>
      <c r="C15">
        <v>16660</v>
      </c>
      <c r="D15">
        <v>20825</v>
      </c>
    </row>
    <row r="16" spans="1:4" x14ac:dyDescent="0.3">
      <c r="A16" s="102">
        <f t="shared" si="0"/>
        <v>9</v>
      </c>
      <c r="B16">
        <v>15000</v>
      </c>
      <c r="C16">
        <v>20000</v>
      </c>
      <c r="D16">
        <v>25000</v>
      </c>
    </row>
    <row r="17" spans="1:4" x14ac:dyDescent="0.3">
      <c r="A17" s="102">
        <f t="shared" si="0"/>
        <v>10</v>
      </c>
      <c r="B17">
        <v>15000</v>
      </c>
      <c r="C17">
        <v>20000</v>
      </c>
      <c r="D17">
        <v>25000</v>
      </c>
    </row>
    <row r="18" spans="1:4" x14ac:dyDescent="0.3">
      <c r="A18" s="102">
        <f t="shared" si="0"/>
        <v>11</v>
      </c>
      <c r="B18">
        <v>15000</v>
      </c>
      <c r="C18">
        <v>20000</v>
      </c>
      <c r="D18">
        <v>25000</v>
      </c>
    </row>
    <row r="19" spans="1:4" x14ac:dyDescent="0.3">
      <c r="A19" s="102">
        <f t="shared" si="0"/>
        <v>12</v>
      </c>
      <c r="B19">
        <v>15000</v>
      </c>
      <c r="C19">
        <v>20000</v>
      </c>
      <c r="D19">
        <v>25000</v>
      </c>
    </row>
    <row r="20" spans="1:4" x14ac:dyDescent="0.3">
      <c r="A20" s="102">
        <f t="shared" si="0"/>
        <v>13</v>
      </c>
      <c r="B20">
        <v>15000</v>
      </c>
      <c r="C20">
        <v>20000</v>
      </c>
      <c r="D20">
        <v>25000</v>
      </c>
    </row>
    <row r="21" spans="1:4" x14ac:dyDescent="0.3">
      <c r="A21" s="102">
        <f t="shared" si="0"/>
        <v>14</v>
      </c>
      <c r="B21">
        <v>15000</v>
      </c>
      <c r="C21">
        <v>20000</v>
      </c>
      <c r="D21">
        <v>25000</v>
      </c>
    </row>
    <row r="22" spans="1:4" x14ac:dyDescent="0.3">
      <c r="A22" s="102">
        <f t="shared" si="0"/>
        <v>15</v>
      </c>
      <c r="B22">
        <v>15000</v>
      </c>
      <c r="C22">
        <v>20000</v>
      </c>
      <c r="D22">
        <v>25000</v>
      </c>
    </row>
    <row r="23" spans="1:4" x14ac:dyDescent="0.3">
      <c r="A23" s="102">
        <f t="shared" si="0"/>
        <v>16</v>
      </c>
      <c r="B23">
        <v>15000</v>
      </c>
      <c r="C23">
        <v>20000</v>
      </c>
      <c r="D23">
        <v>25000</v>
      </c>
    </row>
    <row r="24" spans="1:4" x14ac:dyDescent="0.3">
      <c r="A24" s="102">
        <f t="shared" si="0"/>
        <v>17</v>
      </c>
      <c r="B24">
        <v>15000</v>
      </c>
      <c r="C24">
        <v>20000</v>
      </c>
      <c r="D24">
        <v>25000</v>
      </c>
    </row>
    <row r="25" spans="1:4" x14ac:dyDescent="0.3">
      <c r="A25" s="102">
        <f t="shared" si="0"/>
        <v>18</v>
      </c>
      <c r="B25">
        <v>15000</v>
      </c>
      <c r="C25">
        <v>20000</v>
      </c>
      <c r="D25">
        <v>25000</v>
      </c>
    </row>
    <row r="26" spans="1:4" x14ac:dyDescent="0.3">
      <c r="A26" s="102">
        <f t="shared" si="0"/>
        <v>19</v>
      </c>
      <c r="B26">
        <v>15000</v>
      </c>
      <c r="C26">
        <v>20000</v>
      </c>
      <c r="D26">
        <v>25000</v>
      </c>
    </row>
    <row r="27" spans="1:4" x14ac:dyDescent="0.3">
      <c r="A27" s="102">
        <f t="shared" si="0"/>
        <v>20</v>
      </c>
      <c r="B27">
        <v>15000</v>
      </c>
      <c r="C27">
        <v>20000</v>
      </c>
      <c r="D27">
        <v>25000</v>
      </c>
    </row>
    <row r="28" spans="1:4" x14ac:dyDescent="0.3">
      <c r="A28" s="102">
        <f t="shared" si="0"/>
        <v>21</v>
      </c>
      <c r="B28">
        <v>14250</v>
      </c>
      <c r="C28">
        <v>19000</v>
      </c>
      <c r="D28">
        <v>23750</v>
      </c>
    </row>
    <row r="29" spans="1:4" x14ac:dyDescent="0.3">
      <c r="A29" s="102">
        <f t="shared" si="0"/>
        <v>22</v>
      </c>
      <c r="B29">
        <v>13500</v>
      </c>
      <c r="C29">
        <v>18000</v>
      </c>
      <c r="D29">
        <v>22500</v>
      </c>
    </row>
    <row r="30" spans="1:4" x14ac:dyDescent="0.3">
      <c r="A30" s="102">
        <f>A29+1</f>
        <v>23</v>
      </c>
      <c r="B30">
        <v>12750</v>
      </c>
      <c r="C30">
        <v>17000</v>
      </c>
      <c r="D30">
        <v>21250</v>
      </c>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B3" sqref="B3:G3"/>
    </sheetView>
  </sheetViews>
  <sheetFormatPr defaultRowHeight="14.4" x14ac:dyDescent="0.3"/>
  <cols>
    <col min="2" max="2" width="14" customWidth="1"/>
    <col min="3" max="3" width="9.5546875" customWidth="1"/>
    <col min="4" max="5" width="10.109375" bestFit="1" customWidth="1"/>
    <col min="6" max="6" width="10.109375" customWidth="1"/>
    <col min="7" max="7" width="10.6640625" bestFit="1" customWidth="1"/>
  </cols>
  <sheetData>
    <row r="1" spans="1:13" ht="15.6" x14ac:dyDescent="0.3">
      <c r="A1" s="103"/>
      <c r="B1" s="103"/>
      <c r="C1" s="103"/>
      <c r="D1" s="103"/>
      <c r="E1" s="103"/>
      <c r="F1" s="103"/>
      <c r="G1" s="103"/>
      <c r="H1" s="103"/>
      <c r="I1" s="103"/>
      <c r="J1" s="103"/>
      <c r="K1" s="103"/>
      <c r="L1" s="103"/>
      <c r="M1" s="103"/>
    </row>
    <row r="2" spans="1:13" ht="15.6" x14ac:dyDescent="0.3">
      <c r="A2" s="103"/>
      <c r="B2" s="103"/>
      <c r="C2" s="103"/>
      <c r="D2" s="103"/>
      <c r="E2" s="103"/>
      <c r="F2" s="103"/>
      <c r="G2" s="103"/>
      <c r="H2" s="103"/>
      <c r="I2" s="103"/>
      <c r="J2" s="103"/>
      <c r="K2" s="103"/>
      <c r="L2" s="103"/>
      <c r="M2" s="103"/>
    </row>
    <row r="3" spans="1:13" ht="33.75" customHeight="1" thickBot="1" x14ac:dyDescent="0.35">
      <c r="A3" s="103"/>
      <c r="B3" s="585" t="s">
        <v>141</v>
      </c>
      <c r="C3" s="586"/>
      <c r="D3" s="586"/>
      <c r="E3" s="586"/>
      <c r="F3" s="586"/>
      <c r="G3" s="587"/>
      <c r="H3" s="103"/>
      <c r="I3" s="103"/>
      <c r="J3" s="103"/>
      <c r="K3" s="103"/>
      <c r="L3" s="103"/>
      <c r="M3" s="103"/>
    </row>
    <row r="4" spans="1:13" ht="16.2" thickBot="1" x14ac:dyDescent="0.35">
      <c r="A4" s="103"/>
      <c r="B4" s="588" t="s">
        <v>142</v>
      </c>
      <c r="C4" s="589"/>
      <c r="D4" s="589"/>
      <c r="E4" s="589"/>
      <c r="F4" s="589"/>
      <c r="G4" s="590"/>
      <c r="H4" s="103"/>
      <c r="I4" s="103"/>
      <c r="J4" s="103"/>
      <c r="K4" s="103"/>
      <c r="L4" s="103"/>
      <c r="M4" s="103"/>
    </row>
    <row r="5" spans="1:13" ht="30.6" x14ac:dyDescent="0.3">
      <c r="A5" s="103"/>
      <c r="B5" s="168" t="s">
        <v>143</v>
      </c>
      <c r="C5" s="169">
        <v>0.05</v>
      </c>
      <c r="D5" s="169">
        <v>7.4999999999999997E-2</v>
      </c>
      <c r="E5" s="169">
        <v>0.1</v>
      </c>
      <c r="F5" s="169">
        <v>0.125</v>
      </c>
      <c r="G5" s="170">
        <v>0.15</v>
      </c>
      <c r="H5" s="86"/>
      <c r="I5" s="103"/>
      <c r="J5" s="103"/>
      <c r="K5" s="103"/>
      <c r="L5" s="103"/>
      <c r="M5" s="103"/>
    </row>
    <row r="6" spans="1:13" s="102" customFormat="1" ht="15.6" x14ac:dyDescent="0.3">
      <c r="A6" s="103"/>
      <c r="B6" s="581">
        <v>0.24</v>
      </c>
      <c r="C6" s="171">
        <f>C7/10000</f>
        <v>1.5814527970858201</v>
      </c>
      <c r="D6" s="171">
        <f>D7/10000</f>
        <v>1.79595373970311</v>
      </c>
      <c r="E6" s="171">
        <f>E7/10000</f>
        <v>2.0556853047491601</v>
      </c>
      <c r="F6" s="171">
        <f>F7/10000</f>
        <v>2.3654258656662099</v>
      </c>
      <c r="G6" s="172">
        <f>G7/10000</f>
        <v>2.7299513651780902</v>
      </c>
      <c r="H6" s="167"/>
      <c r="I6" s="103"/>
      <c r="J6" s="103"/>
      <c r="K6" s="103"/>
      <c r="L6" s="103"/>
      <c r="M6" s="103"/>
    </row>
    <row r="7" spans="1:13" s="102" customFormat="1" ht="15.6" x14ac:dyDescent="0.3">
      <c r="A7" s="103"/>
      <c r="B7" s="582"/>
      <c r="C7" s="173">
        <v>15814.5279708582</v>
      </c>
      <c r="D7" s="173">
        <v>17959.537397031101</v>
      </c>
      <c r="E7" s="173">
        <v>20556.853047491601</v>
      </c>
      <c r="F7" s="173">
        <v>23654.258656662099</v>
      </c>
      <c r="G7" s="174">
        <v>27299.513651780901</v>
      </c>
      <c r="H7" s="167"/>
      <c r="I7" s="103"/>
      <c r="J7" s="103"/>
      <c r="K7" s="103"/>
      <c r="L7" s="103"/>
      <c r="M7" s="103"/>
    </row>
    <row r="8" spans="1:13" ht="15.6" x14ac:dyDescent="0.3">
      <c r="A8" s="103"/>
      <c r="B8" s="591">
        <v>0.26</v>
      </c>
      <c r="C8" s="171">
        <f>15429/10000</f>
        <v>1.5428999999999999</v>
      </c>
      <c r="D8" s="171">
        <f>17290/10000</f>
        <v>1.7290000000000001</v>
      </c>
      <c r="E8" s="171">
        <f>19757/10000</f>
        <v>1.9757</v>
      </c>
      <c r="F8" s="171">
        <f>22695/10000</f>
        <v>2.2694999999999999</v>
      </c>
      <c r="G8" s="172">
        <f>26148/10000</f>
        <v>2.6147999999999998</v>
      </c>
      <c r="H8" s="167"/>
      <c r="I8" s="103"/>
      <c r="J8" s="103"/>
      <c r="K8" s="103"/>
      <c r="L8" s="103"/>
      <c r="M8" s="103"/>
    </row>
    <row r="9" spans="1:13" s="102" customFormat="1" ht="15.6" x14ac:dyDescent="0.3">
      <c r="A9" s="103"/>
      <c r="B9" s="584"/>
      <c r="C9" s="173">
        <v>15429</v>
      </c>
      <c r="D9" s="173">
        <v>17290</v>
      </c>
      <c r="E9" s="173">
        <v>19757</v>
      </c>
      <c r="F9" s="173">
        <v>22695.306347904389</v>
      </c>
      <c r="G9" s="174">
        <v>26148.452900580029</v>
      </c>
      <c r="H9" s="167"/>
      <c r="I9" s="103"/>
      <c r="J9" s="103"/>
      <c r="K9" s="103"/>
      <c r="L9" s="103"/>
      <c r="M9" s="103"/>
    </row>
    <row r="10" spans="1:13" ht="15.6" x14ac:dyDescent="0.3">
      <c r="A10" s="103"/>
      <c r="B10" s="581">
        <v>0.28000000000000003</v>
      </c>
      <c r="C10" s="171">
        <f>C11/10000</f>
        <v>1.47748045315627</v>
      </c>
      <c r="D10" s="171">
        <f>D11/10000</f>
        <v>1.6728176871319</v>
      </c>
      <c r="E10" s="171">
        <f>E11/10000</f>
        <v>1.9087246411143599</v>
      </c>
      <c r="F10" s="171">
        <f>F11/10000</f>
        <v>2.1893054758308601</v>
      </c>
      <c r="G10" s="172">
        <f>G11/10000</f>
        <v>2.5186339171675498</v>
      </c>
      <c r="H10" s="103"/>
      <c r="I10" s="103"/>
      <c r="J10" s="103"/>
      <c r="K10" s="103"/>
      <c r="L10" s="103"/>
      <c r="M10" s="103"/>
    </row>
    <row r="11" spans="1:13" s="102" customFormat="1" ht="15.6" x14ac:dyDescent="0.3">
      <c r="A11" s="103"/>
      <c r="B11" s="582"/>
      <c r="C11" s="173">
        <v>14774.804531562701</v>
      </c>
      <c r="D11" s="173">
        <v>16728.176871318999</v>
      </c>
      <c r="E11" s="173">
        <v>19087.246411143598</v>
      </c>
      <c r="F11" s="173">
        <v>21893.054758308601</v>
      </c>
      <c r="G11" s="174">
        <v>25186.3391716755</v>
      </c>
      <c r="H11" s="103"/>
      <c r="I11" s="103"/>
      <c r="J11" s="103"/>
      <c r="K11" s="103"/>
      <c r="L11" s="103"/>
      <c r="M11" s="103"/>
    </row>
    <row r="12" spans="1:13" ht="15.6" x14ac:dyDescent="0.3">
      <c r="A12" s="103"/>
      <c r="B12" s="583">
        <v>0.3</v>
      </c>
      <c r="C12" s="175">
        <f>C13/10000</f>
        <v>1.4371448149039299</v>
      </c>
      <c r="D12" s="175">
        <f>D13/10000</f>
        <v>1.6250943763416301</v>
      </c>
      <c r="E12" s="175">
        <f>E13/10000</f>
        <v>1.8518289391889802</v>
      </c>
      <c r="F12" s="175">
        <f>F13/10000</f>
        <v>2.1211995762615903</v>
      </c>
      <c r="G12" s="176">
        <f>G13/10000</f>
        <v>2.4370177689675998</v>
      </c>
      <c r="H12" s="103"/>
      <c r="I12" s="103"/>
      <c r="J12" s="103"/>
      <c r="K12" s="103"/>
      <c r="L12" s="103"/>
      <c r="M12" s="103"/>
    </row>
    <row r="13" spans="1:13" s="102" customFormat="1" ht="15.6" x14ac:dyDescent="0.3">
      <c r="A13" s="103"/>
      <c r="B13" s="584"/>
      <c r="C13" s="173">
        <v>14371.448149039299</v>
      </c>
      <c r="D13" s="173">
        <v>16250.9437634163</v>
      </c>
      <c r="E13" s="173">
        <v>18518.289391889801</v>
      </c>
      <c r="F13" s="173">
        <v>21211.995762615901</v>
      </c>
      <c r="G13" s="174">
        <v>24370.177689675998</v>
      </c>
      <c r="H13" s="103"/>
      <c r="I13" s="103"/>
      <c r="J13" s="103"/>
      <c r="K13" s="103"/>
      <c r="L13" s="103"/>
      <c r="M13" s="103"/>
    </row>
    <row r="14" spans="1:13" s="102" customFormat="1" ht="15.6" x14ac:dyDescent="0.3">
      <c r="A14" s="103"/>
      <c r="B14" s="150" t="s">
        <v>164</v>
      </c>
      <c r="C14" s="139"/>
      <c r="D14" s="139"/>
      <c r="E14" s="139"/>
      <c r="F14" s="139"/>
      <c r="G14" s="139"/>
      <c r="H14" s="103"/>
      <c r="I14" s="103"/>
      <c r="J14" s="103"/>
      <c r="K14" s="103"/>
      <c r="L14" s="103"/>
      <c r="M14" s="103"/>
    </row>
    <row r="15" spans="1:13" ht="15.6" x14ac:dyDescent="0.3">
      <c r="A15" s="103"/>
      <c r="B15" s="103" t="s">
        <v>163</v>
      </c>
      <c r="C15" s="103"/>
      <c r="D15" s="103"/>
      <c r="E15" s="103"/>
      <c r="F15" s="103"/>
      <c r="G15" s="103"/>
      <c r="H15" s="103"/>
      <c r="I15" s="103"/>
      <c r="J15" s="103"/>
      <c r="K15" s="103"/>
      <c r="L15" s="103"/>
      <c r="M15" s="103"/>
    </row>
    <row r="16" spans="1:13" s="102" customFormat="1" ht="15.6" x14ac:dyDescent="0.3">
      <c r="A16" s="103"/>
      <c r="B16" s="103" t="s">
        <v>165</v>
      </c>
      <c r="C16" s="103"/>
      <c r="D16" s="103"/>
      <c r="E16" s="103"/>
      <c r="F16" s="103"/>
      <c r="G16" s="103"/>
      <c r="H16" s="103"/>
      <c r="I16" s="103"/>
      <c r="J16" s="103"/>
      <c r="K16" s="103"/>
      <c r="L16" s="103"/>
      <c r="M16" s="103"/>
    </row>
    <row r="17" spans="1:13" s="102" customFormat="1" ht="15.6" x14ac:dyDescent="0.3">
      <c r="A17" s="103"/>
      <c r="B17" s="103" t="s">
        <v>166</v>
      </c>
      <c r="C17" s="103"/>
      <c r="D17" s="103"/>
      <c r="E17" s="103"/>
      <c r="F17" s="103"/>
      <c r="G17" s="103"/>
      <c r="H17" s="103"/>
      <c r="I17" s="103"/>
      <c r="J17" s="103"/>
      <c r="K17" s="103"/>
      <c r="L17" s="103"/>
      <c r="M17" s="103"/>
    </row>
    <row r="18" spans="1:13" ht="15.6" x14ac:dyDescent="0.3">
      <c r="A18" s="103"/>
      <c r="B18" s="103" t="s">
        <v>167</v>
      </c>
      <c r="C18" s="103"/>
      <c r="D18" s="103"/>
      <c r="E18" s="103"/>
      <c r="F18" s="103"/>
      <c r="G18" s="103"/>
      <c r="H18" s="103"/>
      <c r="I18" s="103"/>
      <c r="J18" s="103"/>
      <c r="K18" s="103"/>
      <c r="L18" s="103"/>
      <c r="M18" s="103"/>
    </row>
    <row r="19" spans="1:13" ht="15.6" x14ac:dyDescent="0.3">
      <c r="A19" s="103"/>
      <c r="B19" s="103"/>
      <c r="C19" s="103"/>
      <c r="D19" s="103"/>
      <c r="E19" s="103"/>
      <c r="F19" s="103"/>
      <c r="G19" s="103"/>
      <c r="H19" s="103"/>
      <c r="I19" s="103"/>
      <c r="J19" s="103"/>
      <c r="K19" s="103"/>
      <c r="L19" s="103"/>
      <c r="M19" s="103"/>
    </row>
    <row r="20" spans="1:13" ht="15.6" x14ac:dyDescent="0.3">
      <c r="A20" s="103"/>
      <c r="B20" s="87"/>
      <c r="C20" s="142"/>
      <c r="D20" s="142"/>
      <c r="E20" s="142"/>
      <c r="F20" s="142"/>
      <c r="G20" s="142"/>
      <c r="H20" s="103"/>
      <c r="I20" s="103"/>
      <c r="J20" s="103"/>
      <c r="K20" s="103"/>
      <c r="L20" s="103"/>
      <c r="M20" s="103"/>
    </row>
    <row r="21" spans="1:13" ht="15.6" x14ac:dyDescent="0.3">
      <c r="A21" s="103"/>
      <c r="B21" s="87"/>
      <c r="C21" s="142"/>
      <c r="D21" s="142"/>
      <c r="E21" s="142"/>
      <c r="F21" s="142"/>
      <c r="G21" s="142"/>
      <c r="H21" s="103"/>
      <c r="I21" s="103"/>
      <c r="J21" s="103"/>
      <c r="K21" s="103"/>
      <c r="L21" s="103"/>
      <c r="M21" s="103"/>
    </row>
    <row r="22" spans="1:13" ht="15.6" x14ac:dyDescent="0.3">
      <c r="A22" s="103"/>
      <c r="B22" s="87"/>
      <c r="C22" s="142"/>
      <c r="D22" s="142"/>
      <c r="E22" s="142"/>
      <c r="F22" s="142"/>
      <c r="G22" s="142"/>
      <c r="H22" s="103"/>
      <c r="I22" s="103"/>
      <c r="J22" s="103"/>
      <c r="K22" s="103"/>
      <c r="L22" s="103"/>
      <c r="M22" s="103"/>
    </row>
    <row r="23" spans="1:13" ht="15.6" x14ac:dyDescent="0.3">
      <c r="A23" s="103"/>
      <c r="H23" s="103"/>
      <c r="I23" s="103"/>
      <c r="J23" s="103"/>
      <c r="K23" s="103"/>
      <c r="L23" s="103"/>
      <c r="M23" s="103"/>
    </row>
    <row r="24" spans="1:13" ht="15.6" x14ac:dyDescent="0.3">
      <c r="A24" s="103"/>
      <c r="H24" s="103"/>
      <c r="I24" s="103"/>
      <c r="J24" s="103"/>
      <c r="K24" s="103"/>
      <c r="L24" s="103"/>
      <c r="M24" s="103"/>
    </row>
  </sheetData>
  <mergeCells count="6">
    <mergeCell ref="B10:B11"/>
    <mergeCell ref="B12:B13"/>
    <mergeCell ref="B3:G3"/>
    <mergeCell ref="B4:G4"/>
    <mergeCell ref="B8:B9"/>
    <mergeCell ref="B6:B7"/>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10"/>
  <sheetViews>
    <sheetView topLeftCell="B3" zoomScale="75" zoomScaleNormal="75" workbookViewId="0">
      <selection activeCell="S27" sqref="S27"/>
    </sheetView>
  </sheetViews>
  <sheetFormatPr defaultColWidth="9.109375" defaultRowHeight="14.4" x14ac:dyDescent="0.3"/>
  <cols>
    <col min="1" max="1" width="3.5546875" style="102" customWidth="1"/>
    <col min="2" max="2" width="6.88671875" style="102" customWidth="1"/>
    <col min="3" max="3" width="12" style="102" customWidth="1"/>
    <col min="4" max="4" width="10.33203125" style="102" customWidth="1"/>
    <col min="5" max="5" width="9.109375" style="102"/>
    <col min="6" max="6" width="9.88671875" style="102" bestFit="1" customWidth="1"/>
    <col min="7" max="7" width="11" style="102" bestFit="1" customWidth="1"/>
    <col min="8" max="8" width="9.88671875" style="102" customWidth="1"/>
    <col min="9" max="9" width="13.88671875" style="102" customWidth="1"/>
    <col min="10" max="10" width="13" style="102" customWidth="1"/>
    <col min="11" max="11" width="13.88671875" style="102" customWidth="1"/>
    <col min="12" max="12" width="3" style="102" customWidth="1"/>
    <col min="13" max="14" width="15.6640625" style="102" customWidth="1"/>
    <col min="15" max="15" width="2.6640625" style="102" customWidth="1"/>
    <col min="16" max="16" width="13.109375" style="102" customWidth="1"/>
    <col min="17" max="17" width="10.6640625" style="102" customWidth="1"/>
    <col min="18" max="18" width="9.109375" style="102" bestFit="1" customWidth="1"/>
    <col min="19" max="19" width="7.6640625" style="102" customWidth="1"/>
    <col min="20" max="20" width="4.88671875" style="102" customWidth="1"/>
    <col min="21" max="21" width="9.5546875" style="102" customWidth="1"/>
    <col min="22" max="22" width="7.6640625" style="102" customWidth="1"/>
    <col min="23" max="23" width="8.109375" style="102" customWidth="1"/>
    <col min="24" max="30" width="7.6640625" style="102" customWidth="1"/>
    <col min="31" max="16384" width="9.109375" style="102"/>
  </cols>
  <sheetData>
    <row r="1" spans="1:55" ht="15.6" x14ac:dyDescent="0.3">
      <c r="A1" s="103"/>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row>
    <row r="2" spans="1:55" ht="15.6" x14ac:dyDescent="0.3">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row>
    <row r="3" spans="1:55" ht="15.6" x14ac:dyDescent="0.3">
      <c r="A3" s="103"/>
      <c r="B3" s="592" t="s">
        <v>120</v>
      </c>
      <c r="C3" s="592"/>
      <c r="D3" s="592"/>
      <c r="E3" s="592"/>
      <c r="F3" s="592"/>
      <c r="G3" s="592"/>
      <c r="H3" s="592"/>
      <c r="I3" s="592"/>
      <c r="J3" s="592"/>
      <c r="K3" s="141"/>
      <c r="Q3" s="2"/>
      <c r="R3" s="84"/>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row>
    <row r="4" spans="1:55" ht="90.6" x14ac:dyDescent="0.3">
      <c r="A4" s="103"/>
      <c r="B4" s="141" t="s">
        <v>107</v>
      </c>
      <c r="C4" s="86" t="s">
        <v>119</v>
      </c>
      <c r="D4" s="86" t="s">
        <v>124</v>
      </c>
      <c r="E4" s="86" t="s">
        <v>125</v>
      </c>
      <c r="F4" s="86" t="s">
        <v>126</v>
      </c>
      <c r="G4" s="86" t="s">
        <v>127</v>
      </c>
      <c r="H4" s="86" t="s">
        <v>129</v>
      </c>
      <c r="I4" s="86" t="s">
        <v>123</v>
      </c>
      <c r="J4" s="86" t="s">
        <v>130</v>
      </c>
      <c r="K4" s="86" t="s">
        <v>128</v>
      </c>
      <c r="M4" s="86" t="s">
        <v>121</v>
      </c>
      <c r="N4" s="86" t="s">
        <v>122</v>
      </c>
      <c r="O4" s="110"/>
      <c r="Q4" s="85"/>
      <c r="R4" s="84"/>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row>
    <row r="5" spans="1:55" ht="15.6" x14ac:dyDescent="0.3">
      <c r="A5" s="103"/>
      <c r="B5" s="103">
        <v>0</v>
      </c>
      <c r="C5" s="105"/>
      <c r="D5" s="141"/>
      <c r="E5" s="107"/>
      <c r="F5" s="108">
        <v>0</v>
      </c>
      <c r="G5" s="108">
        <f t="shared" ref="G5:G10" si="0">M5</f>
        <v>1777.5</v>
      </c>
      <c r="H5" s="108">
        <f>F5-G5</f>
        <v>-1777.5</v>
      </c>
      <c r="I5" s="108">
        <f t="shared" ref="I5:I35" si="1">H5/(1+$U$6)^B5</f>
        <v>-1777.5</v>
      </c>
      <c r="J5" s="108">
        <f>I5</f>
        <v>-1777.5</v>
      </c>
      <c r="K5" s="108"/>
      <c r="M5" s="115">
        <f>'Chestnuts Cost to Establish'!D10</f>
        <v>1777.5</v>
      </c>
      <c r="N5" s="111"/>
      <c r="P5" s="103" t="s">
        <v>111</v>
      </c>
      <c r="U5" s="112">
        <v>0.28000000000000003</v>
      </c>
      <c r="V5" s="88" t="s">
        <v>118</v>
      </c>
      <c r="W5" s="103"/>
      <c r="X5" s="87"/>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row>
    <row r="6" spans="1:55" ht="15.6" x14ac:dyDescent="0.3">
      <c r="A6" s="103"/>
      <c r="B6" s="103">
        <f>B5+1</f>
        <v>1</v>
      </c>
      <c r="C6" s="116">
        <v>0</v>
      </c>
      <c r="D6" s="141">
        <f t="shared" ref="D6:D35" si="2">$U$7*C6</f>
        <v>0</v>
      </c>
      <c r="E6" s="107">
        <f t="shared" ref="E6:E35" si="3">$U$5</f>
        <v>0.28000000000000003</v>
      </c>
      <c r="F6" s="108">
        <f t="shared" ref="F6:F35" si="4">D6*E6</f>
        <v>0</v>
      </c>
      <c r="G6" s="108">
        <f t="shared" si="0"/>
        <v>3861.4159999999997</v>
      </c>
      <c r="H6" s="108">
        <f t="shared" ref="H6:H35" si="5">F6-G6</f>
        <v>-3861.4159999999997</v>
      </c>
      <c r="I6" s="108">
        <f t="shared" si="1"/>
        <v>-3677.5390476190473</v>
      </c>
      <c r="J6" s="108">
        <f>I6+J5</f>
        <v>-5455.0390476190478</v>
      </c>
      <c r="K6" s="108"/>
      <c r="M6" s="115">
        <f>'Chestnuts Cost to Establish'!D25</f>
        <v>3861.4159999999997</v>
      </c>
      <c r="N6" s="111"/>
      <c r="P6" s="103" t="s">
        <v>116</v>
      </c>
      <c r="U6" s="113">
        <v>0.05</v>
      </c>
      <c r="V6" s="88" t="s">
        <v>117</v>
      </c>
      <c r="W6" s="103"/>
      <c r="X6" s="87"/>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row>
    <row r="7" spans="1:55" ht="15.6" x14ac:dyDescent="0.3">
      <c r="A7" s="103"/>
      <c r="B7" s="103">
        <f t="shared" ref="B7:B35" si="6">B6+1</f>
        <v>2</v>
      </c>
      <c r="C7" s="116">
        <v>0</v>
      </c>
      <c r="D7" s="141">
        <f t="shared" si="2"/>
        <v>0</v>
      </c>
      <c r="E7" s="107">
        <f t="shared" si="3"/>
        <v>0.28000000000000003</v>
      </c>
      <c r="F7" s="108">
        <f t="shared" si="4"/>
        <v>0</v>
      </c>
      <c r="G7" s="108">
        <f t="shared" si="0"/>
        <v>650.031208309921</v>
      </c>
      <c r="H7" s="108">
        <f t="shared" si="5"/>
        <v>-650.031208309921</v>
      </c>
      <c r="I7" s="108">
        <f t="shared" si="1"/>
        <v>-589.59746785480365</v>
      </c>
      <c r="J7" s="108">
        <f t="shared" ref="J7:J35" si="7">I7+J6</f>
        <v>-6044.6365154738514</v>
      </c>
      <c r="K7" s="108"/>
      <c r="M7" s="115">
        <f>'Chestnuts Cost to Establish'!D39</f>
        <v>650.031208309921</v>
      </c>
      <c r="N7" s="111"/>
      <c r="P7" s="103" t="s">
        <v>114</v>
      </c>
      <c r="U7" s="114">
        <v>10000</v>
      </c>
      <c r="V7" s="103" t="s">
        <v>115</v>
      </c>
      <c r="W7" s="103"/>
      <c r="X7" s="87"/>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row>
    <row r="8" spans="1:55" ht="15.6" x14ac:dyDescent="0.3">
      <c r="A8" s="103"/>
      <c r="B8" s="103">
        <f t="shared" si="6"/>
        <v>3</v>
      </c>
      <c r="C8" s="116">
        <v>0</v>
      </c>
      <c r="D8" s="141">
        <f t="shared" si="2"/>
        <v>0</v>
      </c>
      <c r="E8" s="107">
        <f t="shared" si="3"/>
        <v>0.28000000000000003</v>
      </c>
      <c r="F8" s="108">
        <f t="shared" si="4"/>
        <v>0</v>
      </c>
      <c r="G8" s="108">
        <f t="shared" si="0"/>
        <v>484.12120830992092</v>
      </c>
      <c r="H8" s="108">
        <f t="shared" si="5"/>
        <v>-484.12120830992092</v>
      </c>
      <c r="I8" s="108">
        <f t="shared" si="1"/>
        <v>-418.20210198459853</v>
      </c>
      <c r="J8" s="108">
        <f t="shared" si="7"/>
        <v>-6462.8386174584502</v>
      </c>
      <c r="K8" s="108"/>
      <c r="M8" s="115">
        <f>'Chestnuts Cost to Establish'!G16</f>
        <v>484.12120830992092</v>
      </c>
      <c r="N8" s="111"/>
      <c r="P8" s="103" t="s">
        <v>134</v>
      </c>
      <c r="Q8" s="105"/>
      <c r="R8" s="103"/>
      <c r="U8" s="115">
        <f>'Chestnuts Cost Per Acre'!K79</f>
        <v>2843.9876531679779</v>
      </c>
      <c r="V8" s="88" t="s">
        <v>133</v>
      </c>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row>
    <row r="9" spans="1:55" ht="15.6" x14ac:dyDescent="0.3">
      <c r="A9" s="103"/>
      <c r="B9" s="103">
        <f t="shared" si="6"/>
        <v>4</v>
      </c>
      <c r="C9" s="116">
        <v>0</v>
      </c>
      <c r="D9" s="141">
        <f t="shared" si="2"/>
        <v>0</v>
      </c>
      <c r="E9" s="107">
        <f t="shared" si="3"/>
        <v>0.28000000000000003</v>
      </c>
      <c r="F9" s="108">
        <f t="shared" si="4"/>
        <v>0</v>
      </c>
      <c r="G9" s="108">
        <f t="shared" si="0"/>
        <v>497.29065694318319</v>
      </c>
      <c r="H9" s="108">
        <f t="shared" si="5"/>
        <v>-497.29065694318319</v>
      </c>
      <c r="I9" s="108">
        <f t="shared" si="1"/>
        <v>-409.12225415803761</v>
      </c>
      <c r="J9" s="108">
        <f t="shared" si="7"/>
        <v>-6871.9608716164876</v>
      </c>
      <c r="K9" s="108"/>
      <c r="M9" s="115">
        <f>'Chestnuts Cost to Establish'!G30</f>
        <v>497.29065694318319</v>
      </c>
      <c r="N9" s="111"/>
      <c r="P9" s="141"/>
      <c r="Q9" s="141"/>
      <c r="R9" s="141"/>
      <c r="S9" s="103"/>
      <c r="T9" s="141"/>
      <c r="U9" s="103"/>
      <c r="V9" s="141"/>
      <c r="W9" s="103"/>
      <c r="X9" s="103"/>
      <c r="Y9" s="103"/>
      <c r="Z9" s="103"/>
      <c r="AA9" s="103"/>
      <c r="AB9" s="103"/>
      <c r="AC9" s="103"/>
      <c r="AD9" s="103"/>
      <c r="AE9" s="103"/>
      <c r="AF9" s="103"/>
      <c r="AG9" s="103"/>
      <c r="AH9" s="103"/>
      <c r="AI9" s="103"/>
      <c r="AJ9" s="103"/>
      <c r="AK9" s="103"/>
      <c r="AL9" s="103"/>
      <c r="AM9" s="103"/>
      <c r="AN9" s="103"/>
      <c r="AO9" s="103"/>
      <c r="AP9" s="103"/>
      <c r="AQ9" s="103"/>
      <c r="AR9" s="103"/>
      <c r="AS9" s="103"/>
    </row>
    <row r="10" spans="1:55" ht="15.6" x14ac:dyDescent="0.3">
      <c r="A10" s="103"/>
      <c r="B10" s="103">
        <f t="shared" si="6"/>
        <v>5</v>
      </c>
      <c r="C10" s="116">
        <v>0</v>
      </c>
      <c r="D10" s="141">
        <f t="shared" si="2"/>
        <v>0</v>
      </c>
      <c r="E10" s="107">
        <f t="shared" si="3"/>
        <v>0.28000000000000003</v>
      </c>
      <c r="F10" s="108">
        <f t="shared" si="4"/>
        <v>0</v>
      </c>
      <c r="G10" s="108">
        <f t="shared" si="0"/>
        <v>527.12510557644555</v>
      </c>
      <c r="H10" s="108">
        <f t="shared" si="5"/>
        <v>-527.12510557644555</v>
      </c>
      <c r="I10" s="108">
        <f t="shared" si="1"/>
        <v>-413.01631322159409</v>
      </c>
      <c r="J10" s="108">
        <f t="shared" si="7"/>
        <v>-7284.9771848380815</v>
      </c>
      <c r="K10" s="108"/>
      <c r="M10" s="115">
        <f>'Chestnuts Cost to Establish'!G43</f>
        <v>527.12510557644555</v>
      </c>
      <c r="N10" s="111"/>
      <c r="P10" s="106"/>
      <c r="Q10" s="106"/>
      <c r="R10" s="106"/>
      <c r="S10" s="106"/>
      <c r="T10" s="106"/>
      <c r="U10" s="106"/>
      <c r="V10" s="106"/>
      <c r="W10" s="106"/>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row>
    <row r="11" spans="1:55" ht="15.6" x14ac:dyDescent="0.3">
      <c r="A11" s="103"/>
      <c r="B11" s="103">
        <f t="shared" si="6"/>
        <v>6</v>
      </c>
      <c r="C11" s="117">
        <v>0.14299999999999999</v>
      </c>
      <c r="D11" s="141">
        <f t="shared" si="2"/>
        <v>1429.9999999999998</v>
      </c>
      <c r="E11" s="107">
        <f t="shared" si="3"/>
        <v>0.28000000000000003</v>
      </c>
      <c r="F11" s="108">
        <f t="shared" si="4"/>
        <v>400.4</v>
      </c>
      <c r="G11" s="108">
        <f t="shared" ref="G11:G35" si="8">$U$8*N11</f>
        <v>2237.4676192412858</v>
      </c>
      <c r="H11" s="108">
        <f t="shared" si="5"/>
        <v>-1837.0676192412857</v>
      </c>
      <c r="I11" s="108">
        <f t="shared" si="1"/>
        <v>-1370.8481421404413</v>
      </c>
      <c r="J11" s="108">
        <f t="shared" si="7"/>
        <v>-8655.8253269785237</v>
      </c>
      <c r="K11" s="108"/>
      <c r="N11" s="120">
        <v>0.78673605236960975</v>
      </c>
      <c r="P11" s="105"/>
      <c r="Q11" s="87"/>
      <c r="R11" s="88"/>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row>
    <row r="12" spans="1:55" ht="15.6" x14ac:dyDescent="0.3">
      <c r="A12" s="103"/>
      <c r="B12" s="103">
        <f t="shared" si="6"/>
        <v>7</v>
      </c>
      <c r="C12" s="118">
        <v>0.28599999999999998</v>
      </c>
      <c r="D12" s="141">
        <f t="shared" si="2"/>
        <v>2859.9999999999995</v>
      </c>
      <c r="E12" s="107">
        <f t="shared" si="3"/>
        <v>0.28000000000000003</v>
      </c>
      <c r="F12" s="108">
        <f t="shared" si="4"/>
        <v>800.8</v>
      </c>
      <c r="G12" s="108">
        <f t="shared" si="8"/>
        <v>2296.2205231768771</v>
      </c>
      <c r="H12" s="108">
        <f t="shared" si="5"/>
        <v>-1495.4205231768772</v>
      </c>
      <c r="I12" s="108">
        <f t="shared" si="1"/>
        <v>-1062.7674465152252</v>
      </c>
      <c r="J12" s="108">
        <f t="shared" si="7"/>
        <v>-9718.5927734937486</v>
      </c>
      <c r="K12" s="108"/>
      <c r="N12" s="121">
        <v>0.80739468774383338</v>
      </c>
      <c r="P12" s="105"/>
      <c r="Q12" s="90"/>
      <c r="R12" s="91"/>
      <c r="S12" s="141"/>
      <c r="T12" s="141"/>
      <c r="U12" s="141"/>
      <c r="V12" s="106"/>
      <c r="W12" s="106"/>
      <c r="X12" s="106"/>
      <c r="Y12" s="106"/>
      <c r="Z12" s="106"/>
      <c r="AA12" s="106"/>
      <c r="AB12" s="106"/>
      <c r="AC12" s="106"/>
      <c r="AD12" s="106"/>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row>
    <row r="13" spans="1:55" ht="15.6" x14ac:dyDescent="0.3">
      <c r="A13" s="103"/>
      <c r="B13" s="103">
        <f t="shared" si="6"/>
        <v>8</v>
      </c>
      <c r="C13" s="117">
        <v>0.42899999999999999</v>
      </c>
      <c r="D13" s="141">
        <f t="shared" si="2"/>
        <v>4290</v>
      </c>
      <c r="E13" s="107">
        <f t="shared" si="3"/>
        <v>0.28000000000000003</v>
      </c>
      <c r="F13" s="108">
        <f t="shared" si="4"/>
        <v>1201.2</v>
      </c>
      <c r="G13" s="108">
        <f t="shared" si="8"/>
        <v>2475.9809000441314</v>
      </c>
      <c r="H13" s="108">
        <f t="shared" si="5"/>
        <v>-1274.7809000441314</v>
      </c>
      <c r="I13" s="108">
        <f t="shared" si="1"/>
        <v>-862.82189111222556</v>
      </c>
      <c r="J13" s="108">
        <f t="shared" si="7"/>
        <v>-10581.414664605974</v>
      </c>
      <c r="K13" s="108"/>
      <c r="N13" s="120">
        <v>0.87060184571690535</v>
      </c>
      <c r="P13" s="105"/>
      <c r="Q13" s="92"/>
      <c r="R13" s="93"/>
      <c r="S13" s="92"/>
      <c r="T13" s="92"/>
      <c r="U13" s="92"/>
      <c r="V13" s="92"/>
      <c r="W13" s="92"/>
      <c r="X13" s="92"/>
      <c r="Y13" s="92"/>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row>
    <row r="14" spans="1:55" ht="15.6" x14ac:dyDescent="0.3">
      <c r="A14" s="103"/>
      <c r="B14" s="103">
        <f t="shared" si="6"/>
        <v>9</v>
      </c>
      <c r="C14" s="117">
        <v>0.57099999999999995</v>
      </c>
      <c r="D14" s="141">
        <f t="shared" si="2"/>
        <v>5709.9999999999991</v>
      </c>
      <c r="E14" s="107">
        <f t="shared" si="3"/>
        <v>0.28000000000000003</v>
      </c>
      <c r="F14" s="108">
        <f t="shared" si="4"/>
        <v>1598.8</v>
      </c>
      <c r="G14" s="108">
        <f t="shared" si="8"/>
        <v>2559.4531766087775</v>
      </c>
      <c r="H14" s="108">
        <f t="shared" si="5"/>
        <v>-960.65317660877758</v>
      </c>
      <c r="I14" s="108">
        <f t="shared" si="1"/>
        <v>-619.24560303496833</v>
      </c>
      <c r="J14" s="108">
        <f t="shared" si="7"/>
        <v>-11200.660267640942</v>
      </c>
      <c r="K14" s="108"/>
      <c r="L14" s="103"/>
      <c r="M14" s="103"/>
      <c r="N14" s="120">
        <v>0.89995228135317273</v>
      </c>
      <c r="O14" s="103"/>
      <c r="P14" s="105"/>
      <c r="Q14" s="105"/>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row>
    <row r="15" spans="1:55" ht="15.6" x14ac:dyDescent="0.3">
      <c r="A15" s="103"/>
      <c r="B15" s="103">
        <f t="shared" si="6"/>
        <v>10</v>
      </c>
      <c r="C15" s="117">
        <v>0.71399999999999997</v>
      </c>
      <c r="D15" s="141">
        <f t="shared" si="2"/>
        <v>7140</v>
      </c>
      <c r="E15" s="107">
        <f t="shared" si="3"/>
        <v>0.28000000000000003</v>
      </c>
      <c r="F15" s="108">
        <f t="shared" si="4"/>
        <v>1999.2000000000003</v>
      </c>
      <c r="G15" s="108">
        <f t="shared" si="8"/>
        <v>2686.728150083924</v>
      </c>
      <c r="H15" s="108">
        <f t="shared" si="5"/>
        <v>-687.52815008392372</v>
      </c>
      <c r="I15" s="108">
        <f t="shared" si="1"/>
        <v>-422.08264351888107</v>
      </c>
      <c r="J15" s="108">
        <f t="shared" si="7"/>
        <v>-11622.742911159823</v>
      </c>
      <c r="K15" s="108"/>
      <c r="L15" s="103"/>
      <c r="M15" s="103"/>
      <c r="N15" s="120">
        <v>0.94470457601710078</v>
      </c>
      <c r="O15" s="103"/>
      <c r="P15" s="105"/>
      <c r="Q15" s="105"/>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row>
    <row r="16" spans="1:55" ht="15.6" x14ac:dyDescent="0.3">
      <c r="A16" s="103"/>
      <c r="B16" s="103">
        <f t="shared" si="6"/>
        <v>11</v>
      </c>
      <c r="C16" s="117">
        <v>0.85699999999999998</v>
      </c>
      <c r="D16" s="141">
        <f t="shared" si="2"/>
        <v>8570</v>
      </c>
      <c r="E16" s="107">
        <f t="shared" si="3"/>
        <v>0.28000000000000003</v>
      </c>
      <c r="F16" s="108">
        <f t="shared" si="4"/>
        <v>2399.6000000000004</v>
      </c>
      <c r="G16" s="108">
        <f t="shared" si="8"/>
        <v>2761.4389951945209</v>
      </c>
      <c r="H16" s="108">
        <f t="shared" si="5"/>
        <v>-361.83899519452052</v>
      </c>
      <c r="I16" s="108">
        <f t="shared" si="1"/>
        <v>-211.55976647408309</v>
      </c>
      <c r="J16" s="108">
        <f t="shared" si="7"/>
        <v>-11834.302677633907</v>
      </c>
      <c r="K16" s="108"/>
      <c r="L16" s="103"/>
      <c r="M16" s="103"/>
      <c r="N16" s="120">
        <v>0.97097432617841917</v>
      </c>
      <c r="O16" s="103"/>
      <c r="P16" s="105"/>
      <c r="Q16" s="89"/>
      <c r="R16" s="89"/>
      <c r="S16" s="89"/>
      <c r="T16" s="89"/>
      <c r="U16" s="89"/>
      <c r="V16" s="89"/>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row>
    <row r="17" spans="1:52" ht="15.6" x14ac:dyDescent="0.3">
      <c r="A17" s="103"/>
      <c r="B17" s="103">
        <f t="shared" si="6"/>
        <v>12</v>
      </c>
      <c r="C17" s="119">
        <v>1</v>
      </c>
      <c r="D17" s="141">
        <f t="shared" si="2"/>
        <v>10000</v>
      </c>
      <c r="E17" s="107">
        <f t="shared" si="3"/>
        <v>0.28000000000000003</v>
      </c>
      <c r="F17" s="108">
        <f t="shared" si="4"/>
        <v>2800.0000000000005</v>
      </c>
      <c r="G17" s="108">
        <f t="shared" si="8"/>
        <v>2843.9876531679779</v>
      </c>
      <c r="H17" s="108">
        <f t="shared" si="5"/>
        <v>-43.987653167977442</v>
      </c>
      <c r="I17" s="108">
        <f t="shared" si="1"/>
        <v>-24.493971221746506</v>
      </c>
      <c r="J17" s="108">
        <f t="shared" si="7"/>
        <v>-11858.796648855652</v>
      </c>
      <c r="K17" s="108"/>
      <c r="L17" s="103"/>
      <c r="M17" s="103"/>
      <c r="N17" s="116">
        <v>1</v>
      </c>
      <c r="O17" s="103"/>
      <c r="P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row>
    <row r="18" spans="1:52" ht="15.6" x14ac:dyDescent="0.3">
      <c r="A18" s="103"/>
      <c r="B18" s="103">
        <f t="shared" si="6"/>
        <v>13</v>
      </c>
      <c r="C18" s="119">
        <v>1</v>
      </c>
      <c r="D18" s="141">
        <f t="shared" si="2"/>
        <v>10000</v>
      </c>
      <c r="E18" s="107">
        <f t="shared" si="3"/>
        <v>0.28000000000000003</v>
      </c>
      <c r="F18" s="108">
        <f t="shared" si="4"/>
        <v>2800.0000000000005</v>
      </c>
      <c r="G18" s="108">
        <f t="shared" si="8"/>
        <v>2843.9876531679779</v>
      </c>
      <c r="H18" s="108">
        <f t="shared" si="5"/>
        <v>-43.987653167977442</v>
      </c>
      <c r="I18" s="108">
        <f t="shared" si="1"/>
        <v>-23.327591639758573</v>
      </c>
      <c r="J18" s="108">
        <f t="shared" si="7"/>
        <v>-11882.12424049541</v>
      </c>
      <c r="K18" s="108"/>
      <c r="L18" s="103"/>
      <c r="M18" s="103"/>
      <c r="N18" s="116">
        <v>1</v>
      </c>
      <c r="O18" s="103"/>
      <c r="P18" s="103"/>
      <c r="Q18" s="105"/>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row>
    <row r="19" spans="1:52" ht="15.6" x14ac:dyDescent="0.3">
      <c r="A19" s="103"/>
      <c r="B19" s="103">
        <f t="shared" si="6"/>
        <v>14</v>
      </c>
      <c r="C19" s="119">
        <v>1</v>
      </c>
      <c r="D19" s="141">
        <f t="shared" si="2"/>
        <v>10000</v>
      </c>
      <c r="E19" s="107">
        <f t="shared" si="3"/>
        <v>0.28000000000000003</v>
      </c>
      <c r="F19" s="108">
        <f t="shared" si="4"/>
        <v>2800.0000000000005</v>
      </c>
      <c r="G19" s="108">
        <f t="shared" si="8"/>
        <v>2843.9876531679779</v>
      </c>
      <c r="H19" s="108">
        <f t="shared" si="5"/>
        <v>-43.987653167977442</v>
      </c>
      <c r="I19" s="108">
        <f t="shared" si="1"/>
        <v>-22.216753942627218</v>
      </c>
      <c r="J19" s="108">
        <f t="shared" si="7"/>
        <v>-11904.340994438036</v>
      </c>
      <c r="K19" s="108"/>
      <c r="L19" s="103"/>
      <c r="M19" s="103"/>
      <c r="N19" s="116">
        <v>1</v>
      </c>
      <c r="O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row>
    <row r="20" spans="1:52" ht="15.6" x14ac:dyDescent="0.3">
      <c r="A20" s="103"/>
      <c r="B20" s="103">
        <f t="shared" si="6"/>
        <v>15</v>
      </c>
      <c r="C20" s="119">
        <v>1</v>
      </c>
      <c r="D20" s="141">
        <f t="shared" si="2"/>
        <v>10000</v>
      </c>
      <c r="E20" s="107">
        <f t="shared" si="3"/>
        <v>0.28000000000000003</v>
      </c>
      <c r="F20" s="108">
        <f t="shared" si="4"/>
        <v>2800.0000000000005</v>
      </c>
      <c r="G20" s="108">
        <f t="shared" si="8"/>
        <v>2843.9876531679779</v>
      </c>
      <c r="H20" s="108">
        <f t="shared" si="5"/>
        <v>-43.987653167977442</v>
      </c>
      <c r="I20" s="108">
        <f t="shared" si="1"/>
        <v>-21.15881327869258</v>
      </c>
      <c r="J20" s="108">
        <f t="shared" si="7"/>
        <v>-11925.499807716729</v>
      </c>
      <c r="K20" s="108"/>
      <c r="L20" s="103"/>
      <c r="M20" s="103"/>
      <c r="N20" s="116">
        <v>1</v>
      </c>
      <c r="O20" s="103"/>
      <c r="P20" s="103"/>
      <c r="Q20" s="105"/>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row>
    <row r="21" spans="1:52" ht="15.6" x14ac:dyDescent="0.3">
      <c r="A21" s="103"/>
      <c r="B21" s="103">
        <f t="shared" si="6"/>
        <v>16</v>
      </c>
      <c r="C21" s="119">
        <v>1</v>
      </c>
      <c r="D21" s="141">
        <f t="shared" si="2"/>
        <v>10000</v>
      </c>
      <c r="E21" s="107">
        <f t="shared" si="3"/>
        <v>0.28000000000000003</v>
      </c>
      <c r="F21" s="108">
        <f t="shared" si="4"/>
        <v>2800.0000000000005</v>
      </c>
      <c r="G21" s="108">
        <f t="shared" si="8"/>
        <v>2843.9876531679779</v>
      </c>
      <c r="H21" s="108">
        <f t="shared" si="5"/>
        <v>-43.987653167977442</v>
      </c>
      <c r="I21" s="108">
        <f t="shared" si="1"/>
        <v>-20.151250741611982</v>
      </c>
      <c r="J21" s="108">
        <f t="shared" si="7"/>
        <v>-11945.651058458341</v>
      </c>
      <c r="K21" s="108"/>
      <c r="L21" s="103"/>
      <c r="M21" s="103"/>
      <c r="N21" s="116">
        <v>1</v>
      </c>
      <c r="O21" s="103"/>
      <c r="P21" s="103"/>
      <c r="Q21" s="105"/>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row>
    <row r="22" spans="1:52" ht="15.6" x14ac:dyDescent="0.3">
      <c r="A22" s="103"/>
      <c r="B22" s="103">
        <f t="shared" si="6"/>
        <v>17</v>
      </c>
      <c r="C22" s="119">
        <v>1</v>
      </c>
      <c r="D22" s="141">
        <f t="shared" si="2"/>
        <v>10000</v>
      </c>
      <c r="E22" s="107">
        <f t="shared" si="3"/>
        <v>0.28000000000000003</v>
      </c>
      <c r="F22" s="108">
        <f t="shared" si="4"/>
        <v>2800.0000000000005</v>
      </c>
      <c r="G22" s="108">
        <f t="shared" si="8"/>
        <v>2843.9876531679779</v>
      </c>
      <c r="H22" s="108">
        <f t="shared" si="5"/>
        <v>-43.987653167977442</v>
      </c>
      <c r="I22" s="108">
        <f t="shared" si="1"/>
        <v>-19.191667372963792</v>
      </c>
      <c r="J22" s="108">
        <f t="shared" si="7"/>
        <v>-11964.842725831304</v>
      </c>
      <c r="K22" s="109">
        <f t="shared" ref="K22:K35" si="9">-PMT($U$6,B22,J22,1)</f>
        <v>-1061.2325815893271</v>
      </c>
      <c r="L22" s="103"/>
      <c r="M22" s="103"/>
      <c r="N22" s="116">
        <v>1</v>
      </c>
      <c r="O22" s="103"/>
      <c r="P22" s="103"/>
      <c r="Q22" s="105"/>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row>
    <row r="23" spans="1:52" ht="15.6" x14ac:dyDescent="0.3">
      <c r="A23" s="103"/>
      <c r="B23" s="103">
        <f t="shared" si="6"/>
        <v>18</v>
      </c>
      <c r="C23" s="119">
        <v>1</v>
      </c>
      <c r="D23" s="141">
        <f t="shared" si="2"/>
        <v>10000</v>
      </c>
      <c r="E23" s="107">
        <f t="shared" si="3"/>
        <v>0.28000000000000003</v>
      </c>
      <c r="F23" s="108">
        <f t="shared" si="4"/>
        <v>2800.0000000000005</v>
      </c>
      <c r="G23" s="108">
        <f t="shared" si="8"/>
        <v>2843.9876531679779</v>
      </c>
      <c r="H23" s="108">
        <f t="shared" si="5"/>
        <v>-43.987653167977442</v>
      </c>
      <c r="I23" s="108">
        <f t="shared" si="1"/>
        <v>-18.277778450441705</v>
      </c>
      <c r="J23" s="108">
        <f t="shared" si="7"/>
        <v>-11983.120504281746</v>
      </c>
      <c r="K23" s="109">
        <f t="shared" si="9"/>
        <v>-1025.0751445211538</v>
      </c>
      <c r="L23" s="103"/>
      <c r="M23" s="103"/>
      <c r="N23" s="116">
        <v>1</v>
      </c>
      <c r="O23" s="103"/>
      <c r="P23" s="103"/>
      <c r="Q23" s="105"/>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row>
    <row r="24" spans="1:52" ht="15.6" x14ac:dyDescent="0.3">
      <c r="A24" s="103"/>
      <c r="B24" s="103">
        <f t="shared" si="6"/>
        <v>19</v>
      </c>
      <c r="C24" s="119">
        <v>1</v>
      </c>
      <c r="D24" s="141">
        <f t="shared" si="2"/>
        <v>10000</v>
      </c>
      <c r="E24" s="107">
        <f t="shared" si="3"/>
        <v>0.28000000000000003</v>
      </c>
      <c r="F24" s="108">
        <f t="shared" si="4"/>
        <v>2800.0000000000005</v>
      </c>
      <c r="G24" s="108">
        <f t="shared" si="8"/>
        <v>2843.9876531679779</v>
      </c>
      <c r="H24" s="108">
        <f t="shared" si="5"/>
        <v>-43.987653167977442</v>
      </c>
      <c r="I24" s="108">
        <f t="shared" si="1"/>
        <v>-17.40740804803972</v>
      </c>
      <c r="J24" s="108">
        <f t="shared" si="7"/>
        <v>-12000.527912329786</v>
      </c>
      <c r="K24" s="109">
        <f t="shared" si="9"/>
        <v>-992.95106168190205</v>
      </c>
      <c r="L24" s="103"/>
      <c r="M24" s="103"/>
      <c r="N24" s="116">
        <v>1</v>
      </c>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row>
    <row r="25" spans="1:52" ht="15.6" x14ac:dyDescent="0.3">
      <c r="A25" s="103"/>
      <c r="B25" s="95">
        <f t="shared" si="6"/>
        <v>20</v>
      </c>
      <c r="C25" s="119">
        <v>1</v>
      </c>
      <c r="D25" s="141">
        <f t="shared" si="2"/>
        <v>10000</v>
      </c>
      <c r="E25" s="97">
        <f t="shared" si="3"/>
        <v>0.28000000000000003</v>
      </c>
      <c r="F25" s="109">
        <f t="shared" si="4"/>
        <v>2800.0000000000005</v>
      </c>
      <c r="G25" s="108">
        <f t="shared" si="8"/>
        <v>2843.9876531679779</v>
      </c>
      <c r="H25" s="109">
        <f t="shared" si="5"/>
        <v>-43.987653167977442</v>
      </c>
      <c r="I25" s="109">
        <f t="shared" si="1"/>
        <v>-16.578483855275923</v>
      </c>
      <c r="J25" s="109">
        <f t="shared" si="7"/>
        <v>-12017.106396185061</v>
      </c>
      <c r="K25" s="109">
        <f t="shared" si="9"/>
        <v>-964.25346518850336</v>
      </c>
      <c r="L25" s="103"/>
      <c r="M25" s="103"/>
      <c r="N25" s="116">
        <v>1</v>
      </c>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row>
    <row r="26" spans="1:52" ht="15.6" x14ac:dyDescent="0.3">
      <c r="A26" s="103"/>
      <c r="B26" s="95">
        <f t="shared" si="6"/>
        <v>21</v>
      </c>
      <c r="C26" s="119">
        <v>1</v>
      </c>
      <c r="D26" s="141">
        <f t="shared" si="2"/>
        <v>10000</v>
      </c>
      <c r="E26" s="97">
        <f t="shared" si="3"/>
        <v>0.28000000000000003</v>
      </c>
      <c r="F26" s="109">
        <f t="shared" si="4"/>
        <v>2800.0000000000005</v>
      </c>
      <c r="G26" s="108">
        <f t="shared" si="8"/>
        <v>2843.9876531679779</v>
      </c>
      <c r="H26" s="109">
        <f t="shared" si="5"/>
        <v>-43.987653167977442</v>
      </c>
      <c r="I26" s="109">
        <f t="shared" si="1"/>
        <v>-15.789032243119928</v>
      </c>
      <c r="J26" s="109">
        <f t="shared" si="7"/>
        <v>-12032.895428428181</v>
      </c>
      <c r="K26" s="109">
        <f t="shared" si="9"/>
        <v>-938.49100473815361</v>
      </c>
      <c r="L26" s="103"/>
      <c r="M26" s="103"/>
      <c r="N26" s="116">
        <v>1</v>
      </c>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row>
    <row r="27" spans="1:52" ht="15.6" x14ac:dyDescent="0.3">
      <c r="A27" s="103"/>
      <c r="B27" s="103">
        <f t="shared" si="6"/>
        <v>22</v>
      </c>
      <c r="C27" s="119">
        <v>1</v>
      </c>
      <c r="D27" s="141">
        <f t="shared" si="2"/>
        <v>10000</v>
      </c>
      <c r="E27" s="107">
        <f t="shared" si="3"/>
        <v>0.28000000000000003</v>
      </c>
      <c r="F27" s="108">
        <f t="shared" si="4"/>
        <v>2800.0000000000005</v>
      </c>
      <c r="G27" s="108">
        <f t="shared" si="8"/>
        <v>2843.9876531679779</v>
      </c>
      <c r="H27" s="108">
        <f t="shared" si="5"/>
        <v>-43.987653167977442</v>
      </c>
      <c r="I27" s="108">
        <f t="shared" si="1"/>
        <v>-15.037173564876124</v>
      </c>
      <c r="J27" s="108">
        <f>I27+J26</f>
        <v>-12047.932601993058</v>
      </c>
      <c r="K27" s="109">
        <f t="shared" si="9"/>
        <v>-915.26159631791279</v>
      </c>
      <c r="L27" s="103"/>
      <c r="M27" s="103"/>
      <c r="N27" s="116">
        <v>1</v>
      </c>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row>
    <row r="28" spans="1:52" ht="15.6" x14ac:dyDescent="0.3">
      <c r="A28" s="103"/>
      <c r="B28" s="103">
        <f t="shared" si="6"/>
        <v>23</v>
      </c>
      <c r="C28" s="119">
        <v>0.99</v>
      </c>
      <c r="D28" s="141">
        <f t="shared" si="2"/>
        <v>9900</v>
      </c>
      <c r="E28" s="107">
        <f t="shared" si="3"/>
        <v>0.28000000000000003</v>
      </c>
      <c r="F28" s="108">
        <f t="shared" si="4"/>
        <v>2772.0000000000005</v>
      </c>
      <c r="G28" s="108">
        <f t="shared" si="8"/>
        <v>2735.2110144845337</v>
      </c>
      <c r="H28" s="108">
        <f t="shared" si="5"/>
        <v>36.78898551546672</v>
      </c>
      <c r="I28" s="108">
        <f t="shared" si="1"/>
        <v>11.977438053209424</v>
      </c>
      <c r="J28" s="108">
        <f t="shared" si="7"/>
        <v>-12035.955163939849</v>
      </c>
      <c r="K28" s="109">
        <f t="shared" si="9"/>
        <v>-892.28332780629773</v>
      </c>
      <c r="L28" s="103"/>
      <c r="M28" s="103"/>
      <c r="N28" s="122">
        <v>0.96175207070175728</v>
      </c>
      <c r="O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row>
    <row r="29" spans="1:52" ht="15.6" x14ac:dyDescent="0.3">
      <c r="A29" s="103"/>
      <c r="B29" s="103">
        <f t="shared" si="6"/>
        <v>24</v>
      </c>
      <c r="C29" s="119">
        <v>0.97499999999999998</v>
      </c>
      <c r="D29" s="141">
        <f t="shared" si="2"/>
        <v>9750</v>
      </c>
      <c r="E29" s="107">
        <f t="shared" si="3"/>
        <v>0.28000000000000003</v>
      </c>
      <c r="F29" s="108">
        <f t="shared" si="4"/>
        <v>2730.0000000000005</v>
      </c>
      <c r="G29" s="108">
        <f t="shared" si="8"/>
        <v>2727.3028482072204</v>
      </c>
      <c r="H29" s="108">
        <f t="shared" si="5"/>
        <v>2.6971517927800051</v>
      </c>
      <c r="I29" s="108">
        <f t="shared" si="1"/>
        <v>0.83630022010239979</v>
      </c>
      <c r="J29" s="108">
        <f t="shared" si="7"/>
        <v>-12035.118863719747</v>
      </c>
      <c r="K29" s="109">
        <f t="shared" si="9"/>
        <v>-872.17343381867238</v>
      </c>
      <c r="L29" s="103"/>
      <c r="M29" s="103"/>
      <c r="N29" s="122">
        <v>0.95897140944659875</v>
      </c>
      <c r="O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row>
    <row r="30" spans="1:52" ht="15.6" x14ac:dyDescent="0.3">
      <c r="A30" s="103"/>
      <c r="B30" s="103">
        <f t="shared" si="6"/>
        <v>25</v>
      </c>
      <c r="C30" s="119">
        <v>0.96</v>
      </c>
      <c r="D30" s="141">
        <f t="shared" si="2"/>
        <v>9600</v>
      </c>
      <c r="E30" s="107">
        <f t="shared" si="3"/>
        <v>0.28000000000000003</v>
      </c>
      <c r="F30" s="108">
        <f t="shared" si="4"/>
        <v>2688.0000000000005</v>
      </c>
      <c r="G30" s="108">
        <f t="shared" si="8"/>
        <v>2671.221154412161</v>
      </c>
      <c r="H30" s="108">
        <f t="shared" si="5"/>
        <v>16.778845587839442</v>
      </c>
      <c r="I30" s="108">
        <f t="shared" si="1"/>
        <v>4.9548396079777532</v>
      </c>
      <c r="J30" s="108">
        <f t="shared" si="7"/>
        <v>-12030.164024111769</v>
      </c>
      <c r="K30" s="109">
        <f t="shared" si="9"/>
        <v>-853.54874676621955</v>
      </c>
      <c r="L30" s="103"/>
      <c r="M30" s="103"/>
      <c r="N30" s="122">
        <v>0.93925202222190773</v>
      </c>
      <c r="O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row>
    <row r="31" spans="1:52" ht="15.6" x14ac:dyDescent="0.3">
      <c r="A31" s="103"/>
      <c r="B31" s="103">
        <f t="shared" si="6"/>
        <v>26</v>
      </c>
      <c r="C31" s="119">
        <v>0.94499999999999995</v>
      </c>
      <c r="D31" s="141">
        <f t="shared" si="2"/>
        <v>9450</v>
      </c>
      <c r="E31" s="107">
        <f t="shared" si="3"/>
        <v>0.28000000000000003</v>
      </c>
      <c r="F31" s="108">
        <f t="shared" si="4"/>
        <v>2646.0000000000005</v>
      </c>
      <c r="G31" s="108">
        <f t="shared" si="8"/>
        <v>2615.1394606170984</v>
      </c>
      <c r="H31" s="108">
        <f t="shared" si="5"/>
        <v>30.860539382902061</v>
      </c>
      <c r="I31" s="108">
        <f t="shared" si="1"/>
        <v>8.6792407770084985</v>
      </c>
      <c r="J31" s="108">
        <f t="shared" si="7"/>
        <v>-12021.484783334761</v>
      </c>
      <c r="K31" s="109">
        <f t="shared" si="9"/>
        <v>-836.24685810260405</v>
      </c>
      <c r="L31" s="103"/>
      <c r="M31" s="103"/>
      <c r="N31" s="122">
        <v>0.91953263499721571</v>
      </c>
      <c r="O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row>
    <row r="32" spans="1:52" ht="15.6" x14ac:dyDescent="0.3">
      <c r="A32" s="103"/>
      <c r="B32" s="103">
        <f t="shared" si="6"/>
        <v>27</v>
      </c>
      <c r="C32" s="119">
        <v>0.93</v>
      </c>
      <c r="D32" s="141">
        <f t="shared" si="2"/>
        <v>9300</v>
      </c>
      <c r="E32" s="107">
        <f t="shared" si="3"/>
        <v>0.28000000000000003</v>
      </c>
      <c r="F32" s="108">
        <f t="shared" si="4"/>
        <v>2604.0000000000005</v>
      </c>
      <c r="G32" s="108">
        <f t="shared" si="8"/>
        <v>2559.0577668220353</v>
      </c>
      <c r="H32" s="108">
        <f t="shared" si="5"/>
        <v>44.942233177965136</v>
      </c>
      <c r="I32" s="108">
        <f t="shared" si="1"/>
        <v>12.037701608834672</v>
      </c>
      <c r="J32" s="108">
        <f t="shared" si="7"/>
        <v>-12009.447081725926</v>
      </c>
      <c r="K32" s="109">
        <f t="shared" si="9"/>
        <v>-820.12918532183403</v>
      </c>
      <c r="L32" s="103"/>
      <c r="M32" s="103"/>
      <c r="N32" s="122">
        <v>0.89981324777252347</v>
      </c>
      <c r="O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row>
    <row r="33" spans="1:52" ht="15.6" x14ac:dyDescent="0.3">
      <c r="A33" s="103"/>
      <c r="B33" s="103">
        <f t="shared" si="6"/>
        <v>28</v>
      </c>
      <c r="C33" s="119">
        <v>0.91</v>
      </c>
      <c r="D33" s="141">
        <f t="shared" si="2"/>
        <v>9100</v>
      </c>
      <c r="E33" s="107">
        <f t="shared" si="3"/>
        <v>0.28000000000000003</v>
      </c>
      <c r="F33" s="108">
        <f t="shared" si="4"/>
        <v>2548.0000000000005</v>
      </c>
      <c r="G33" s="108">
        <f t="shared" si="8"/>
        <v>2500.3400176012015</v>
      </c>
      <c r="H33" s="108">
        <f t="shared" si="5"/>
        <v>47.659982398799002</v>
      </c>
      <c r="I33" s="108">
        <f t="shared" si="1"/>
        <v>12.157758256284982</v>
      </c>
      <c r="J33" s="108">
        <f t="shared" si="7"/>
        <v>-11997.28932346964</v>
      </c>
      <c r="K33" s="109">
        <f t="shared" si="9"/>
        <v>-805.27129502697767</v>
      </c>
      <c r="L33" s="103"/>
      <c r="M33" s="103"/>
      <c r="N33" s="122">
        <v>0.8791669734627785</v>
      </c>
      <c r="O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row>
    <row r="34" spans="1:52" ht="15.6" x14ac:dyDescent="0.3">
      <c r="A34" s="103"/>
      <c r="B34" s="103">
        <f t="shared" si="6"/>
        <v>29</v>
      </c>
      <c r="C34" s="119">
        <v>0.89</v>
      </c>
      <c r="D34" s="141">
        <f t="shared" si="2"/>
        <v>8900</v>
      </c>
      <c r="E34" s="107">
        <f t="shared" si="3"/>
        <v>0.28000000000000003</v>
      </c>
      <c r="F34" s="108">
        <f t="shared" si="4"/>
        <v>2492.0000000000005</v>
      </c>
      <c r="G34" s="108">
        <f t="shared" si="8"/>
        <v>2393.4487408626183</v>
      </c>
      <c r="H34" s="108">
        <f t="shared" si="5"/>
        <v>98.551259137382203</v>
      </c>
      <c r="I34" s="108">
        <f t="shared" si="1"/>
        <v>23.942665846081304</v>
      </c>
      <c r="J34" s="108">
        <f t="shared" si="7"/>
        <v>-11973.346657623559</v>
      </c>
      <c r="K34" s="109">
        <f t="shared" si="9"/>
        <v>-790.76979907949965</v>
      </c>
      <c r="L34" s="103"/>
      <c r="M34" s="103"/>
      <c r="N34" s="122">
        <v>0.84158197318350003</v>
      </c>
      <c r="O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row>
    <row r="35" spans="1:52" ht="15.6" x14ac:dyDescent="0.3">
      <c r="A35" s="103"/>
      <c r="B35" s="103">
        <f t="shared" si="6"/>
        <v>30</v>
      </c>
      <c r="C35" s="119">
        <v>0.87</v>
      </c>
      <c r="D35" s="141">
        <f t="shared" si="2"/>
        <v>8700</v>
      </c>
      <c r="E35" s="107">
        <f t="shared" si="3"/>
        <v>0.28000000000000003</v>
      </c>
      <c r="F35" s="108">
        <f t="shared" si="4"/>
        <v>2436.0000000000005</v>
      </c>
      <c r="G35" s="108">
        <f t="shared" si="8"/>
        <v>2286.5574641240346</v>
      </c>
      <c r="H35" s="108">
        <f t="shared" si="5"/>
        <v>149.44253587596586</v>
      </c>
      <c r="I35" s="108">
        <f t="shared" si="1"/>
        <v>34.577632671642526</v>
      </c>
      <c r="J35" s="108">
        <f t="shared" si="7"/>
        <v>-11938.769024951916</v>
      </c>
      <c r="K35" s="109">
        <f t="shared" si="9"/>
        <v>-776.61900672999627</v>
      </c>
      <c r="L35" s="103"/>
      <c r="M35" s="103"/>
      <c r="N35" s="122">
        <v>0.80399697290422134</v>
      </c>
      <c r="O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row>
    <row r="36" spans="1:52" ht="15.6" x14ac:dyDescent="0.3">
      <c r="A36" s="103"/>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row>
    <row r="37" spans="1:52" ht="15.6" x14ac:dyDescent="0.3">
      <c r="A37" s="103"/>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row>
    <row r="38" spans="1:52" ht="15.6" x14ac:dyDescent="0.3">
      <c r="A38" s="103"/>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row>
    <row r="39" spans="1:52" ht="15.6" x14ac:dyDescent="0.3">
      <c r="A39" s="103"/>
      <c r="B39" s="103"/>
      <c r="C39" s="103"/>
      <c r="D39" s="103"/>
      <c r="E39" s="103"/>
      <c r="F39" s="103"/>
      <c r="G39" s="103"/>
      <c r="H39" s="593"/>
      <c r="I39" s="593"/>
      <c r="J39" s="94"/>
      <c r="K39" s="94"/>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row>
    <row r="40" spans="1:52" ht="15.6" x14ac:dyDescent="0.3">
      <c r="A40" s="103"/>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row>
    <row r="41" spans="1:52" ht="15.6" x14ac:dyDescent="0.3">
      <c r="A41" s="103"/>
      <c r="B41" s="103">
        <v>1</v>
      </c>
      <c r="C41" s="103"/>
      <c r="D41" s="103" t="s">
        <v>113</v>
      </c>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row>
    <row r="42" spans="1:52" ht="15.6" x14ac:dyDescent="0.3">
      <c r="A42" s="103"/>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row>
    <row r="43" spans="1:52" ht="15.6" x14ac:dyDescent="0.3">
      <c r="A43" s="103"/>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row>
    <row r="44" spans="1:52" ht="15.6" x14ac:dyDescent="0.3">
      <c r="A44" s="103"/>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row>
    <row r="45" spans="1:52" ht="15.6" x14ac:dyDescent="0.3">
      <c r="A45" s="103"/>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row>
    <row r="46" spans="1:52" ht="15.6" x14ac:dyDescent="0.3">
      <c r="A46" s="103"/>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row>
    <row r="47" spans="1:52" ht="15.6" x14ac:dyDescent="0.3">
      <c r="A47" s="103"/>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row>
    <row r="48" spans="1:52" ht="15.6" x14ac:dyDescent="0.3">
      <c r="A48" s="103"/>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row>
    <row r="49" spans="1:52" ht="15.6" x14ac:dyDescent="0.3">
      <c r="A49" s="103"/>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row>
    <row r="50" spans="1:52" ht="15.6" x14ac:dyDescent="0.3">
      <c r="A50" s="103"/>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row>
    <row r="51" spans="1:52" ht="15.6" x14ac:dyDescent="0.3">
      <c r="A51" s="103"/>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row>
    <row r="52" spans="1:52" ht="15.6" x14ac:dyDescent="0.3">
      <c r="A52" s="103"/>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row>
    <row r="53" spans="1:52" ht="15.6" x14ac:dyDescent="0.3">
      <c r="A53" s="103"/>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row>
    <row r="54" spans="1:52" ht="15.6" x14ac:dyDescent="0.3">
      <c r="A54" s="103"/>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row>
    <row r="55" spans="1:52" ht="15.6" x14ac:dyDescent="0.3">
      <c r="A55" s="103"/>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row>
    <row r="56" spans="1:52" ht="15.6" x14ac:dyDescent="0.3">
      <c r="A56" s="103"/>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row>
    <row r="57" spans="1:52" ht="15.6" x14ac:dyDescent="0.3">
      <c r="A57" s="103"/>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row>
    <row r="58" spans="1:52" ht="15.6" x14ac:dyDescent="0.3">
      <c r="A58" s="103"/>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row>
    <row r="59" spans="1:52" ht="15.6" x14ac:dyDescent="0.3">
      <c r="A59" s="103"/>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row>
    <row r="60" spans="1:52" ht="15.6" x14ac:dyDescent="0.3">
      <c r="A60" s="103"/>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row>
    <row r="61" spans="1:52" ht="15.6" x14ac:dyDescent="0.3">
      <c r="A61" s="103"/>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row>
    <row r="62" spans="1:52" ht="15.6" x14ac:dyDescent="0.3">
      <c r="A62" s="103"/>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row>
    <row r="63" spans="1:52" ht="15.6" x14ac:dyDescent="0.3">
      <c r="A63" s="103"/>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row>
    <row r="64" spans="1:52" ht="15.6" x14ac:dyDescent="0.3">
      <c r="A64" s="103"/>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row>
    <row r="65" spans="1:52" ht="15.6" x14ac:dyDescent="0.3">
      <c r="A65" s="103"/>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row>
    <row r="66" spans="1:52" ht="15.6" x14ac:dyDescent="0.3">
      <c r="A66" s="103"/>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row>
    <row r="67" spans="1:52" ht="15.6" x14ac:dyDescent="0.3">
      <c r="A67" s="103"/>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row>
    <row r="68" spans="1:52" ht="15.6" x14ac:dyDescent="0.3">
      <c r="A68" s="103"/>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row>
    <row r="69" spans="1:52" ht="15.6" x14ac:dyDescent="0.3">
      <c r="A69" s="103"/>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row>
    <row r="70" spans="1:52" ht="15.6" x14ac:dyDescent="0.3">
      <c r="A70" s="103"/>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row>
    <row r="71" spans="1:52" ht="15.6" x14ac:dyDescent="0.3">
      <c r="A71" s="103"/>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row>
    <row r="72" spans="1:52" ht="15.6" x14ac:dyDescent="0.3">
      <c r="A72" s="103"/>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row>
    <row r="73" spans="1:52" ht="15.6" x14ac:dyDescent="0.3">
      <c r="A73" s="103"/>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row>
    <row r="74" spans="1:52" ht="15.6" x14ac:dyDescent="0.3">
      <c r="A74" s="103"/>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row>
    <row r="75" spans="1:52" ht="15.6" x14ac:dyDescent="0.3">
      <c r="A75" s="103"/>
      <c r="B75" s="103"/>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row>
    <row r="76" spans="1:52" ht="15.6" x14ac:dyDescent="0.3">
      <c r="A76" s="103"/>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row>
    <row r="77" spans="1:52" ht="15.6" x14ac:dyDescent="0.3">
      <c r="A77" s="103"/>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103"/>
      <c r="AW77" s="103"/>
      <c r="AX77" s="103"/>
      <c r="AY77" s="103"/>
      <c r="AZ77" s="103"/>
    </row>
    <row r="78" spans="1:52" ht="15.6" x14ac:dyDescent="0.3">
      <c r="A78" s="103"/>
      <c r="B78" s="103"/>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3"/>
    </row>
    <row r="79" spans="1:52" ht="15.6" x14ac:dyDescent="0.3">
      <c r="A79" s="103"/>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row>
    <row r="80" spans="1:52" ht="15.6" x14ac:dyDescent="0.3">
      <c r="A80" s="103"/>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row>
    <row r="81" spans="1:52" ht="15.6" x14ac:dyDescent="0.3">
      <c r="A81" s="103"/>
      <c r="B81" s="103"/>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3"/>
    </row>
    <row r="82" spans="1:52" ht="15.6" x14ac:dyDescent="0.3">
      <c r="A82" s="103"/>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c r="AR82" s="103"/>
      <c r="AS82" s="103"/>
      <c r="AT82" s="103"/>
      <c r="AU82" s="103"/>
      <c r="AV82" s="103"/>
      <c r="AW82" s="103"/>
      <c r="AX82" s="103"/>
      <c r="AY82" s="103"/>
      <c r="AZ82" s="103"/>
    </row>
    <row r="83" spans="1:52" ht="15.6" x14ac:dyDescent="0.3">
      <c r="A83" s="103"/>
      <c r="B83" s="103"/>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row>
    <row r="84" spans="1:52" ht="15.6" x14ac:dyDescent="0.3">
      <c r="A84" s="103"/>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row>
    <row r="85" spans="1:52" ht="15.6" x14ac:dyDescent="0.3">
      <c r="A85" s="103"/>
      <c r="B85" s="103"/>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3"/>
      <c r="AZ85" s="103"/>
    </row>
    <row r="86" spans="1:52" ht="15.6" x14ac:dyDescent="0.3">
      <c r="A86" s="103"/>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03"/>
      <c r="AX86" s="103"/>
      <c r="AY86" s="103"/>
      <c r="AZ86" s="103"/>
    </row>
    <row r="87" spans="1:52" ht="15.6" x14ac:dyDescent="0.3">
      <c r="A87" s="103"/>
      <c r="B87" s="103"/>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3"/>
    </row>
    <row r="88" spans="1:52" ht="15.6" x14ac:dyDescent="0.3">
      <c r="A88" s="103"/>
      <c r="B88" s="103"/>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row>
    <row r="89" spans="1:52" ht="15.6" x14ac:dyDescent="0.3">
      <c r="A89" s="103"/>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row>
    <row r="90" spans="1:52" ht="15.6" x14ac:dyDescent="0.3">
      <c r="A90" s="103"/>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row>
    <row r="91" spans="1:52" ht="15.6" x14ac:dyDescent="0.3">
      <c r="A91" s="103"/>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row>
    <row r="92" spans="1:52" ht="15.6" x14ac:dyDescent="0.3">
      <c r="A92" s="103"/>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row>
    <row r="93" spans="1:52" ht="15.6" x14ac:dyDescent="0.3">
      <c r="A93" s="103"/>
      <c r="B93" s="103"/>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c r="AZ93" s="103"/>
    </row>
    <row r="94" spans="1:52" ht="15.6" x14ac:dyDescent="0.3">
      <c r="A94" s="103"/>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row>
    <row r="95" spans="1:52" ht="15.6" x14ac:dyDescent="0.3">
      <c r="A95" s="103"/>
      <c r="B95" s="103"/>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c r="AY95" s="103"/>
      <c r="AZ95" s="103"/>
    </row>
    <row r="96" spans="1:52" ht="15.6" x14ac:dyDescent="0.3">
      <c r="A96" s="103"/>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3"/>
    </row>
    <row r="97" spans="1:52" ht="15.6" x14ac:dyDescent="0.3">
      <c r="A97" s="103"/>
      <c r="B97" s="103"/>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c r="AY97" s="103"/>
      <c r="AZ97" s="103"/>
    </row>
    <row r="98" spans="1:52" ht="15.6" x14ac:dyDescent="0.3">
      <c r="A98" s="103"/>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c r="AZ98" s="103"/>
    </row>
    <row r="99" spans="1:52" ht="15.6" x14ac:dyDescent="0.3">
      <c r="A99" s="103"/>
      <c r="B99" s="103"/>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row>
    <row r="100" spans="1:52" ht="15.6" x14ac:dyDescent="0.3">
      <c r="A100" s="103"/>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row>
    <row r="101" spans="1:52" ht="15.6" x14ac:dyDescent="0.3">
      <c r="A101" s="103"/>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row>
    <row r="102" spans="1:52" ht="15.6" x14ac:dyDescent="0.3">
      <c r="A102" s="103"/>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row>
    <row r="103" spans="1:52" ht="15.6" x14ac:dyDescent="0.3">
      <c r="A103" s="103"/>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row>
    <row r="104" spans="1:52" ht="15.6" x14ac:dyDescent="0.3">
      <c r="A104" s="103"/>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row>
    <row r="105" spans="1:52" ht="15.6" x14ac:dyDescent="0.3">
      <c r="A105" s="103"/>
      <c r="B105" s="103"/>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c r="AY105" s="103"/>
      <c r="AZ105" s="103"/>
    </row>
    <row r="106" spans="1:52" ht="15.6" x14ac:dyDescent="0.3">
      <c r="A106" s="103"/>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3"/>
      <c r="AZ106" s="103"/>
    </row>
    <row r="107" spans="1:52" ht="15.6" x14ac:dyDescent="0.3">
      <c r="A107" s="103"/>
      <c r="B107" s="103"/>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row>
    <row r="108" spans="1:52" ht="15.6" x14ac:dyDescent="0.3">
      <c r="A108" s="103"/>
      <c r="B108" s="103"/>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c r="AY108" s="103"/>
      <c r="AZ108" s="103"/>
    </row>
    <row r="109" spans="1:52" ht="15.6" x14ac:dyDescent="0.3">
      <c r="A109" s="103"/>
      <c r="B109" s="103"/>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row>
    <row r="110" spans="1:52" ht="15.6" x14ac:dyDescent="0.3">
      <c r="A110" s="103"/>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c r="AY110" s="103"/>
      <c r="AZ110" s="103"/>
    </row>
    <row r="111" spans="1:52" ht="15.6" x14ac:dyDescent="0.3">
      <c r="A111" s="103"/>
      <c r="B111" s="103"/>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row>
    <row r="112" spans="1:52" ht="15.6" x14ac:dyDescent="0.3">
      <c r="A112" s="103"/>
      <c r="B112" s="103"/>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3"/>
      <c r="AV112" s="103"/>
      <c r="AW112" s="103"/>
      <c r="AX112" s="103"/>
      <c r="AY112" s="103"/>
      <c r="AZ112" s="103"/>
    </row>
    <row r="113" spans="1:52" ht="15.6" x14ac:dyDescent="0.3">
      <c r="A113" s="103"/>
      <c r="B113" s="103"/>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c r="AN113" s="103"/>
      <c r="AO113" s="103"/>
      <c r="AP113" s="103"/>
      <c r="AQ113" s="103"/>
      <c r="AR113" s="103"/>
      <c r="AS113" s="103"/>
      <c r="AT113" s="103"/>
      <c r="AU113" s="103"/>
      <c r="AV113" s="103"/>
      <c r="AW113" s="103"/>
      <c r="AX113" s="103"/>
      <c r="AY113" s="103"/>
      <c r="AZ113" s="103"/>
    </row>
    <row r="114" spans="1:52" ht="15.6" x14ac:dyDescent="0.3">
      <c r="A114" s="103"/>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103"/>
      <c r="AQ114" s="103"/>
      <c r="AR114" s="103"/>
      <c r="AS114" s="103"/>
      <c r="AT114" s="103"/>
      <c r="AU114" s="103"/>
      <c r="AV114" s="103"/>
      <c r="AW114" s="103"/>
      <c r="AX114" s="103"/>
      <c r="AY114" s="103"/>
      <c r="AZ114" s="103"/>
    </row>
    <row r="115" spans="1:52" ht="15.6" x14ac:dyDescent="0.3">
      <c r="A115" s="103"/>
      <c r="B115" s="103"/>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c r="AN115" s="103"/>
      <c r="AO115" s="103"/>
      <c r="AP115" s="103"/>
      <c r="AQ115" s="103"/>
      <c r="AR115" s="103"/>
      <c r="AS115" s="103"/>
      <c r="AT115" s="103"/>
      <c r="AU115" s="103"/>
      <c r="AV115" s="103"/>
      <c r="AW115" s="103"/>
      <c r="AX115" s="103"/>
      <c r="AY115" s="103"/>
      <c r="AZ115" s="103"/>
    </row>
    <row r="116" spans="1:52" ht="15.6" x14ac:dyDescent="0.3">
      <c r="A116" s="103"/>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c r="AN116" s="103"/>
      <c r="AO116" s="103"/>
      <c r="AP116" s="103"/>
      <c r="AQ116" s="103"/>
      <c r="AR116" s="103"/>
      <c r="AS116" s="103"/>
      <c r="AT116" s="103"/>
      <c r="AU116" s="103"/>
      <c r="AV116" s="103"/>
      <c r="AW116" s="103"/>
      <c r="AX116" s="103"/>
      <c r="AY116" s="103"/>
      <c r="AZ116" s="103"/>
    </row>
    <row r="117" spans="1:52" ht="15.6" x14ac:dyDescent="0.3">
      <c r="A117" s="103"/>
      <c r="B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c r="AN117" s="103"/>
      <c r="AO117" s="103"/>
      <c r="AP117" s="103"/>
      <c r="AQ117" s="103"/>
      <c r="AR117" s="103"/>
      <c r="AS117" s="103"/>
      <c r="AT117" s="103"/>
      <c r="AU117" s="103"/>
      <c r="AV117" s="103"/>
      <c r="AW117" s="103"/>
      <c r="AX117" s="103"/>
      <c r="AY117" s="103"/>
      <c r="AZ117" s="103"/>
    </row>
    <row r="118" spans="1:52" ht="15.6" x14ac:dyDescent="0.3">
      <c r="A118" s="103"/>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c r="AN118" s="103"/>
      <c r="AO118" s="103"/>
      <c r="AP118" s="103"/>
      <c r="AQ118" s="103"/>
      <c r="AR118" s="103"/>
      <c r="AS118" s="103"/>
      <c r="AT118" s="103"/>
      <c r="AU118" s="103"/>
      <c r="AV118" s="103"/>
      <c r="AW118" s="103"/>
      <c r="AX118" s="103"/>
      <c r="AY118" s="103"/>
      <c r="AZ118" s="103"/>
    </row>
    <row r="119" spans="1:52" ht="15.6" x14ac:dyDescent="0.3">
      <c r="A119" s="103"/>
      <c r="B119" s="103"/>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c r="AL119" s="103"/>
      <c r="AM119" s="103"/>
      <c r="AN119" s="103"/>
      <c r="AO119" s="103"/>
      <c r="AP119" s="103"/>
      <c r="AQ119" s="103"/>
      <c r="AR119" s="103"/>
      <c r="AS119" s="103"/>
      <c r="AT119" s="103"/>
      <c r="AU119" s="103"/>
      <c r="AV119" s="103"/>
      <c r="AW119" s="103"/>
      <c r="AX119" s="103"/>
      <c r="AY119" s="103"/>
      <c r="AZ119" s="103"/>
    </row>
    <row r="120" spans="1:52" ht="15.6" x14ac:dyDescent="0.3">
      <c r="A120" s="103"/>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103"/>
      <c r="AS120" s="103"/>
      <c r="AT120" s="103"/>
      <c r="AU120" s="103"/>
      <c r="AV120" s="103"/>
      <c r="AW120" s="103"/>
      <c r="AX120" s="103"/>
      <c r="AY120" s="103"/>
      <c r="AZ120" s="103"/>
    </row>
    <row r="121" spans="1:52" ht="15.6" x14ac:dyDescent="0.3">
      <c r="A121" s="103"/>
      <c r="B121" s="103"/>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3"/>
      <c r="AL121" s="103"/>
      <c r="AM121" s="103"/>
      <c r="AN121" s="103"/>
      <c r="AO121" s="103"/>
      <c r="AP121" s="103"/>
      <c r="AQ121" s="103"/>
      <c r="AR121" s="103"/>
      <c r="AS121" s="103"/>
      <c r="AT121" s="103"/>
      <c r="AU121" s="103"/>
      <c r="AV121" s="103"/>
      <c r="AW121" s="103"/>
      <c r="AX121" s="103"/>
      <c r="AY121" s="103"/>
      <c r="AZ121" s="103"/>
    </row>
    <row r="122" spans="1:52" ht="15.6" x14ac:dyDescent="0.3">
      <c r="A122" s="103"/>
      <c r="B122" s="103"/>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c r="AS122" s="103"/>
      <c r="AT122" s="103"/>
      <c r="AU122" s="103"/>
      <c r="AV122" s="103"/>
      <c r="AW122" s="103"/>
      <c r="AX122" s="103"/>
      <c r="AY122" s="103"/>
      <c r="AZ122" s="103"/>
    </row>
    <row r="123" spans="1:52" ht="15.6" x14ac:dyDescent="0.3">
      <c r="A123" s="103"/>
      <c r="B123" s="103"/>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c r="AN123" s="103"/>
      <c r="AO123" s="103"/>
      <c r="AP123" s="103"/>
      <c r="AQ123" s="103"/>
      <c r="AR123" s="103"/>
      <c r="AS123" s="103"/>
      <c r="AT123" s="103"/>
      <c r="AU123" s="103"/>
      <c r="AV123" s="103"/>
      <c r="AW123" s="103"/>
      <c r="AX123" s="103"/>
      <c r="AY123" s="103"/>
      <c r="AZ123" s="103"/>
    </row>
    <row r="124" spans="1:52" ht="15.6" x14ac:dyDescent="0.3">
      <c r="A124" s="103"/>
      <c r="B124" s="103"/>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3"/>
      <c r="AL124" s="103"/>
      <c r="AM124" s="103"/>
      <c r="AN124" s="103"/>
      <c r="AO124" s="103"/>
      <c r="AP124" s="103"/>
      <c r="AQ124" s="103"/>
      <c r="AR124" s="103"/>
      <c r="AS124" s="103"/>
      <c r="AT124" s="103"/>
      <c r="AU124" s="103"/>
      <c r="AV124" s="103"/>
      <c r="AW124" s="103"/>
      <c r="AX124" s="103"/>
      <c r="AY124" s="103"/>
      <c r="AZ124" s="103"/>
    </row>
    <row r="125" spans="1:52" ht="15.6" x14ac:dyDescent="0.3">
      <c r="A125" s="103"/>
      <c r="B125" s="103"/>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c r="AZ125" s="103"/>
    </row>
    <row r="126" spans="1:52" ht="15.6" x14ac:dyDescent="0.3">
      <c r="A126" s="103"/>
      <c r="B126" s="103"/>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c r="AN126" s="103"/>
      <c r="AO126" s="103"/>
      <c r="AP126" s="103"/>
      <c r="AQ126" s="103"/>
      <c r="AR126" s="103"/>
      <c r="AS126" s="103"/>
      <c r="AT126" s="103"/>
      <c r="AU126" s="103"/>
      <c r="AV126" s="103"/>
      <c r="AW126" s="103"/>
      <c r="AX126" s="103"/>
      <c r="AY126" s="103"/>
      <c r="AZ126" s="103"/>
    </row>
    <row r="127" spans="1:52" ht="15.6" x14ac:dyDescent="0.3">
      <c r="A127" s="103"/>
      <c r="B127" s="103"/>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3"/>
      <c r="AL127" s="103"/>
      <c r="AM127" s="103"/>
      <c r="AN127" s="103"/>
      <c r="AO127" s="103"/>
      <c r="AP127" s="103"/>
      <c r="AQ127" s="103"/>
      <c r="AR127" s="103"/>
      <c r="AS127" s="103"/>
      <c r="AT127" s="103"/>
      <c r="AU127" s="103"/>
      <c r="AV127" s="103"/>
      <c r="AW127" s="103"/>
      <c r="AX127" s="103"/>
      <c r="AY127" s="103"/>
      <c r="AZ127" s="103"/>
    </row>
    <row r="128" spans="1:52" ht="15.6" x14ac:dyDescent="0.3">
      <c r="A128" s="103"/>
      <c r="B128" s="103"/>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3"/>
      <c r="AL128" s="103"/>
      <c r="AM128" s="103"/>
      <c r="AN128" s="103"/>
      <c r="AO128" s="103"/>
      <c r="AP128" s="103"/>
      <c r="AQ128" s="103"/>
      <c r="AR128" s="103"/>
      <c r="AS128" s="103"/>
      <c r="AT128" s="103"/>
      <c r="AU128" s="103"/>
      <c r="AV128" s="103"/>
      <c r="AW128" s="103"/>
      <c r="AX128" s="103"/>
      <c r="AY128" s="103"/>
      <c r="AZ128" s="103"/>
    </row>
    <row r="129" spans="1:52" ht="15.6" x14ac:dyDescent="0.3">
      <c r="A129" s="103"/>
      <c r="B129" s="103"/>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103"/>
      <c r="AS129" s="103"/>
      <c r="AT129" s="103"/>
      <c r="AU129" s="103"/>
      <c r="AV129" s="103"/>
      <c r="AW129" s="103"/>
      <c r="AX129" s="103"/>
      <c r="AY129" s="103"/>
      <c r="AZ129" s="103"/>
    </row>
    <row r="130" spans="1:52" ht="15.6" x14ac:dyDescent="0.3">
      <c r="A130" s="103"/>
      <c r="B130" s="103"/>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c r="AN130" s="103"/>
      <c r="AO130" s="103"/>
      <c r="AP130" s="103"/>
      <c r="AQ130" s="103"/>
      <c r="AR130" s="103"/>
      <c r="AS130" s="103"/>
      <c r="AT130" s="103"/>
      <c r="AU130" s="103"/>
      <c r="AV130" s="103"/>
      <c r="AW130" s="103"/>
      <c r="AX130" s="103"/>
      <c r="AY130" s="103"/>
      <c r="AZ130" s="103"/>
    </row>
    <row r="131" spans="1:52" ht="15.6" x14ac:dyDescent="0.3">
      <c r="A131" s="103"/>
      <c r="B131" s="103"/>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3"/>
      <c r="AY131" s="103"/>
      <c r="AZ131" s="103"/>
    </row>
    <row r="132" spans="1:52" ht="15.6" x14ac:dyDescent="0.3">
      <c r="A132" s="103"/>
      <c r="B132" s="103"/>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3"/>
      <c r="Z132" s="103"/>
      <c r="AA132" s="103"/>
      <c r="AB132" s="103"/>
      <c r="AC132" s="103"/>
      <c r="AD132" s="103"/>
      <c r="AE132" s="103"/>
      <c r="AF132" s="103"/>
      <c r="AG132" s="103"/>
      <c r="AH132" s="103"/>
      <c r="AI132" s="103"/>
      <c r="AJ132" s="103"/>
      <c r="AK132" s="103"/>
      <c r="AL132" s="103"/>
      <c r="AM132" s="103"/>
      <c r="AN132" s="103"/>
      <c r="AO132" s="103"/>
      <c r="AP132" s="103"/>
      <c r="AQ132" s="103"/>
      <c r="AR132" s="103"/>
      <c r="AS132" s="103"/>
      <c r="AT132" s="103"/>
      <c r="AU132" s="103"/>
      <c r="AV132" s="103"/>
      <c r="AW132" s="103"/>
      <c r="AX132" s="103"/>
      <c r="AY132" s="103"/>
      <c r="AZ132" s="103"/>
    </row>
    <row r="133" spans="1:52" ht="15.6" x14ac:dyDescent="0.3">
      <c r="A133" s="103"/>
      <c r="B133" s="103"/>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03"/>
      <c r="Z133" s="103"/>
      <c r="AA133" s="103"/>
      <c r="AB133" s="103"/>
      <c r="AC133" s="103"/>
      <c r="AD133" s="103"/>
      <c r="AE133" s="103"/>
      <c r="AF133" s="103"/>
      <c r="AG133" s="103"/>
      <c r="AH133" s="103"/>
      <c r="AI133" s="103"/>
      <c r="AJ133" s="103"/>
      <c r="AK133" s="103"/>
      <c r="AL133" s="103"/>
      <c r="AM133" s="103"/>
      <c r="AN133" s="103"/>
      <c r="AO133" s="103"/>
      <c r="AP133" s="103"/>
      <c r="AQ133" s="103"/>
      <c r="AR133" s="103"/>
      <c r="AS133" s="103"/>
      <c r="AT133" s="103"/>
      <c r="AU133" s="103"/>
      <c r="AV133" s="103"/>
      <c r="AW133" s="103"/>
      <c r="AX133" s="103"/>
      <c r="AY133" s="103"/>
      <c r="AZ133" s="103"/>
    </row>
    <row r="134" spans="1:52" ht="15.6" x14ac:dyDescent="0.3">
      <c r="A134" s="103"/>
      <c r="B134" s="103"/>
      <c r="C134" s="103"/>
      <c r="D134" s="103"/>
      <c r="E134" s="103"/>
      <c r="F134" s="103"/>
      <c r="G134" s="103"/>
      <c r="H134" s="103"/>
      <c r="I134" s="103"/>
      <c r="J134" s="103"/>
      <c r="K134" s="103"/>
      <c r="L134" s="103"/>
      <c r="M134" s="103"/>
      <c r="N134" s="103"/>
      <c r="O134" s="103"/>
      <c r="P134" s="103"/>
      <c r="Q134" s="103"/>
      <c r="R134" s="103"/>
      <c r="S134" s="103"/>
      <c r="T134" s="103"/>
      <c r="U134" s="103"/>
      <c r="V134" s="103"/>
      <c r="W134" s="103"/>
      <c r="X134" s="103"/>
      <c r="Y134" s="103"/>
      <c r="Z134" s="103"/>
      <c r="AA134" s="103"/>
      <c r="AB134" s="103"/>
      <c r="AC134" s="103"/>
      <c r="AD134" s="103"/>
      <c r="AE134" s="103"/>
      <c r="AF134" s="103"/>
      <c r="AG134" s="103"/>
      <c r="AH134" s="103"/>
      <c r="AI134" s="103"/>
      <c r="AJ134" s="103"/>
      <c r="AK134" s="103"/>
      <c r="AL134" s="103"/>
      <c r="AM134" s="103"/>
      <c r="AN134" s="103"/>
      <c r="AO134" s="103"/>
      <c r="AP134" s="103"/>
      <c r="AQ134" s="103"/>
      <c r="AR134" s="103"/>
      <c r="AS134" s="103"/>
      <c r="AT134" s="103"/>
      <c r="AU134" s="103"/>
      <c r="AV134" s="103"/>
      <c r="AW134" s="103"/>
      <c r="AX134" s="103"/>
      <c r="AY134" s="103"/>
      <c r="AZ134" s="103"/>
    </row>
    <row r="135" spans="1:52" ht="15.6" x14ac:dyDescent="0.3">
      <c r="A135" s="103"/>
      <c r="B135" s="103"/>
      <c r="C135" s="103"/>
      <c r="D135" s="103"/>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03"/>
      <c r="AJ135" s="103"/>
      <c r="AK135" s="103"/>
      <c r="AL135" s="103"/>
      <c r="AM135" s="103"/>
      <c r="AN135" s="103"/>
      <c r="AO135" s="103"/>
      <c r="AP135" s="103"/>
      <c r="AQ135" s="103"/>
      <c r="AR135" s="103"/>
      <c r="AS135" s="103"/>
      <c r="AT135" s="103"/>
      <c r="AU135" s="103"/>
      <c r="AV135" s="103"/>
      <c r="AW135" s="103"/>
      <c r="AX135" s="103"/>
      <c r="AY135" s="103"/>
      <c r="AZ135" s="103"/>
    </row>
    <row r="136" spans="1:52" ht="15.6" x14ac:dyDescent="0.3">
      <c r="A136" s="103"/>
      <c r="B136" s="103"/>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3"/>
      <c r="AR136" s="103"/>
      <c r="AS136" s="103"/>
      <c r="AT136" s="103"/>
      <c r="AU136" s="103"/>
      <c r="AV136" s="103"/>
      <c r="AW136" s="103"/>
      <c r="AX136" s="103"/>
      <c r="AY136" s="103"/>
      <c r="AZ136" s="103"/>
    </row>
    <row r="137" spans="1:52" ht="15.6" x14ac:dyDescent="0.3">
      <c r="A137" s="103"/>
      <c r="B137" s="103"/>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03"/>
      <c r="AK137" s="103"/>
      <c r="AL137" s="103"/>
      <c r="AM137" s="103"/>
      <c r="AN137" s="103"/>
      <c r="AO137" s="103"/>
      <c r="AP137" s="103"/>
      <c r="AQ137" s="103"/>
      <c r="AR137" s="103"/>
      <c r="AS137" s="103"/>
      <c r="AT137" s="103"/>
      <c r="AU137" s="103"/>
      <c r="AV137" s="103"/>
      <c r="AW137" s="103"/>
      <c r="AX137" s="103"/>
      <c r="AY137" s="103"/>
      <c r="AZ137" s="103"/>
    </row>
    <row r="138" spans="1:52" ht="15.6" x14ac:dyDescent="0.3">
      <c r="A138" s="103"/>
      <c r="B138" s="103"/>
      <c r="C138" s="103"/>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3"/>
      <c r="Z138" s="103"/>
      <c r="AA138" s="103"/>
      <c r="AB138" s="103"/>
      <c r="AC138" s="103"/>
      <c r="AD138" s="103"/>
      <c r="AE138" s="103"/>
      <c r="AF138" s="103"/>
      <c r="AG138" s="103"/>
      <c r="AH138" s="103"/>
      <c r="AI138" s="103"/>
      <c r="AJ138" s="103"/>
      <c r="AK138" s="103"/>
      <c r="AL138" s="103"/>
      <c r="AM138" s="103"/>
      <c r="AN138" s="103"/>
      <c r="AO138" s="103"/>
      <c r="AP138" s="103"/>
      <c r="AQ138" s="103"/>
      <c r="AR138" s="103"/>
      <c r="AS138" s="103"/>
      <c r="AT138" s="103"/>
      <c r="AU138" s="103"/>
      <c r="AV138" s="103"/>
      <c r="AW138" s="103"/>
      <c r="AX138" s="103"/>
      <c r="AY138" s="103"/>
      <c r="AZ138" s="103"/>
    </row>
    <row r="139" spans="1:52" ht="15.6" x14ac:dyDescent="0.3">
      <c r="A139" s="103"/>
      <c r="B139" s="103"/>
      <c r="C139" s="103"/>
      <c r="D139" s="103"/>
      <c r="E139" s="103"/>
      <c r="F139" s="103"/>
      <c r="G139" s="103"/>
      <c r="H139" s="103"/>
      <c r="I139" s="103"/>
      <c r="J139" s="103"/>
      <c r="K139" s="103"/>
      <c r="L139" s="103"/>
      <c r="M139" s="103"/>
      <c r="N139" s="103"/>
      <c r="O139" s="103"/>
      <c r="P139" s="103"/>
      <c r="Q139" s="103"/>
      <c r="R139" s="103"/>
      <c r="S139" s="103"/>
      <c r="T139" s="103"/>
      <c r="U139" s="103"/>
      <c r="V139" s="103"/>
      <c r="W139" s="103"/>
      <c r="X139" s="103"/>
      <c r="Y139" s="103"/>
      <c r="Z139" s="103"/>
      <c r="AA139" s="103"/>
      <c r="AB139" s="103"/>
      <c r="AC139" s="103"/>
      <c r="AD139" s="103"/>
      <c r="AE139" s="103"/>
      <c r="AF139" s="103"/>
      <c r="AG139" s="103"/>
      <c r="AH139" s="103"/>
      <c r="AI139" s="103"/>
      <c r="AJ139" s="103"/>
      <c r="AK139" s="103"/>
      <c r="AL139" s="103"/>
      <c r="AM139" s="103"/>
      <c r="AN139" s="103"/>
      <c r="AO139" s="103"/>
      <c r="AP139" s="103"/>
      <c r="AQ139" s="103"/>
      <c r="AR139" s="103"/>
      <c r="AS139" s="103"/>
      <c r="AT139" s="103"/>
      <c r="AU139" s="103"/>
      <c r="AV139" s="103"/>
      <c r="AW139" s="103"/>
      <c r="AX139" s="103"/>
      <c r="AY139" s="103"/>
      <c r="AZ139" s="103"/>
    </row>
    <row r="140" spans="1:52" ht="15.6" x14ac:dyDescent="0.3">
      <c r="A140" s="103"/>
      <c r="B140" s="103"/>
      <c r="C140" s="103"/>
      <c r="D140" s="103"/>
      <c r="E140" s="103"/>
      <c r="F140" s="103"/>
      <c r="G140" s="103"/>
      <c r="H140" s="103"/>
      <c r="I140" s="103"/>
      <c r="J140" s="103"/>
      <c r="K140" s="103"/>
      <c r="L140" s="103"/>
      <c r="M140" s="103"/>
      <c r="N140" s="103"/>
      <c r="O140" s="103"/>
      <c r="P140" s="103"/>
      <c r="Q140" s="103"/>
      <c r="R140" s="103"/>
      <c r="S140" s="103"/>
      <c r="T140" s="103"/>
      <c r="U140" s="103"/>
      <c r="V140" s="103"/>
      <c r="W140" s="103"/>
      <c r="X140" s="103"/>
      <c r="Y140" s="103"/>
      <c r="Z140" s="103"/>
      <c r="AA140" s="103"/>
      <c r="AB140" s="103"/>
      <c r="AC140" s="103"/>
      <c r="AD140" s="103"/>
      <c r="AE140" s="103"/>
      <c r="AF140" s="103"/>
      <c r="AG140" s="103"/>
      <c r="AH140" s="103"/>
      <c r="AI140" s="103"/>
      <c r="AJ140" s="103"/>
      <c r="AK140" s="103"/>
      <c r="AL140" s="103"/>
      <c r="AM140" s="103"/>
      <c r="AN140" s="103"/>
      <c r="AO140" s="103"/>
      <c r="AP140" s="103"/>
      <c r="AQ140" s="103"/>
      <c r="AR140" s="103"/>
      <c r="AS140" s="103"/>
      <c r="AT140" s="103"/>
      <c r="AU140" s="103"/>
      <c r="AV140" s="103"/>
      <c r="AW140" s="103"/>
      <c r="AX140" s="103"/>
      <c r="AY140" s="103"/>
      <c r="AZ140" s="103"/>
    </row>
    <row r="141" spans="1:52" ht="15.6" x14ac:dyDescent="0.3">
      <c r="A141" s="103"/>
      <c r="B141" s="103"/>
      <c r="C141" s="103"/>
      <c r="D141" s="103"/>
      <c r="E141" s="103"/>
      <c r="F141" s="103"/>
      <c r="G141" s="103"/>
      <c r="H141" s="103"/>
      <c r="I141" s="103"/>
      <c r="J141" s="103"/>
      <c r="K141" s="103"/>
      <c r="L141" s="103"/>
      <c r="M141" s="103"/>
      <c r="N141" s="103"/>
      <c r="O141" s="103"/>
      <c r="P141" s="103"/>
      <c r="Q141" s="103"/>
      <c r="R141" s="103"/>
      <c r="S141" s="103"/>
      <c r="T141" s="103"/>
      <c r="U141" s="103"/>
      <c r="V141" s="103"/>
      <c r="W141" s="103"/>
      <c r="X141" s="103"/>
      <c r="Y141" s="103"/>
      <c r="Z141" s="103"/>
      <c r="AA141" s="103"/>
      <c r="AB141" s="103"/>
      <c r="AC141" s="103"/>
      <c r="AD141" s="103"/>
      <c r="AE141" s="103"/>
      <c r="AF141" s="103"/>
      <c r="AG141" s="103"/>
      <c r="AH141" s="103"/>
      <c r="AI141" s="103"/>
      <c r="AJ141" s="103"/>
      <c r="AK141" s="103"/>
      <c r="AL141" s="103"/>
      <c r="AM141" s="103"/>
      <c r="AN141" s="103"/>
      <c r="AO141" s="103"/>
      <c r="AP141" s="103"/>
      <c r="AQ141" s="103"/>
      <c r="AR141" s="103"/>
      <c r="AS141" s="103"/>
      <c r="AT141" s="103"/>
      <c r="AU141" s="103"/>
      <c r="AV141" s="103"/>
      <c r="AW141" s="103"/>
      <c r="AX141" s="103"/>
      <c r="AY141" s="103"/>
      <c r="AZ141" s="103"/>
    </row>
    <row r="142" spans="1:52" ht="15.6" x14ac:dyDescent="0.3">
      <c r="A142" s="103"/>
      <c r="B142" s="103"/>
      <c r="C142" s="103"/>
      <c r="D142" s="103"/>
      <c r="E142" s="103"/>
      <c r="F142" s="103"/>
      <c r="G142" s="103"/>
      <c r="H142" s="103"/>
      <c r="I142" s="103"/>
      <c r="J142" s="103"/>
      <c r="K142" s="103"/>
      <c r="L142" s="103"/>
      <c r="M142" s="103"/>
      <c r="N142" s="103"/>
      <c r="O142" s="103"/>
      <c r="P142" s="103"/>
      <c r="Q142" s="103"/>
      <c r="R142" s="103"/>
      <c r="S142" s="103"/>
      <c r="T142" s="103"/>
      <c r="U142" s="103"/>
      <c r="V142" s="103"/>
      <c r="W142" s="103"/>
      <c r="X142" s="103"/>
      <c r="Y142" s="103"/>
      <c r="Z142" s="103"/>
      <c r="AA142" s="103"/>
      <c r="AB142" s="103"/>
      <c r="AC142" s="103"/>
      <c r="AD142" s="103"/>
      <c r="AE142" s="103"/>
      <c r="AF142" s="103"/>
      <c r="AG142" s="103"/>
      <c r="AH142" s="103"/>
      <c r="AI142" s="103"/>
      <c r="AJ142" s="103"/>
      <c r="AK142" s="103"/>
      <c r="AL142" s="103"/>
      <c r="AM142" s="103"/>
      <c r="AN142" s="103"/>
      <c r="AO142" s="103"/>
      <c r="AP142" s="103"/>
      <c r="AQ142" s="103"/>
      <c r="AR142" s="103"/>
      <c r="AS142" s="103"/>
      <c r="AT142" s="103"/>
      <c r="AU142" s="103"/>
      <c r="AV142" s="103"/>
      <c r="AW142" s="103"/>
      <c r="AX142" s="103"/>
      <c r="AY142" s="103"/>
      <c r="AZ142" s="103"/>
    </row>
    <row r="143" spans="1:52" ht="15.6" x14ac:dyDescent="0.3">
      <c r="A143" s="103"/>
      <c r="B143" s="103"/>
      <c r="C143" s="103"/>
      <c r="D143" s="103"/>
      <c r="E143" s="103"/>
      <c r="F143" s="103"/>
      <c r="G143" s="103"/>
      <c r="H143" s="103"/>
      <c r="I143" s="103"/>
      <c r="J143" s="103"/>
      <c r="K143" s="103"/>
      <c r="L143" s="103"/>
      <c r="M143" s="103"/>
      <c r="N143" s="103"/>
      <c r="O143" s="103"/>
      <c r="P143" s="103"/>
      <c r="Q143" s="103"/>
      <c r="R143" s="103"/>
      <c r="S143" s="103"/>
      <c r="T143" s="103"/>
      <c r="U143" s="103"/>
      <c r="V143" s="103"/>
      <c r="W143" s="103"/>
      <c r="X143" s="103"/>
      <c r="Y143" s="103"/>
      <c r="Z143" s="103"/>
      <c r="AA143" s="103"/>
      <c r="AB143" s="103"/>
      <c r="AC143" s="103"/>
      <c r="AD143" s="103"/>
      <c r="AE143" s="103"/>
      <c r="AF143" s="103"/>
      <c r="AG143" s="103"/>
      <c r="AH143" s="103"/>
      <c r="AI143" s="103"/>
      <c r="AJ143" s="103"/>
      <c r="AK143" s="103"/>
      <c r="AL143" s="103"/>
      <c r="AM143" s="103"/>
      <c r="AN143" s="103"/>
      <c r="AO143" s="103"/>
      <c r="AP143" s="103"/>
      <c r="AQ143" s="103"/>
      <c r="AR143" s="103"/>
      <c r="AS143" s="103"/>
      <c r="AT143" s="103"/>
      <c r="AU143" s="103"/>
      <c r="AV143" s="103"/>
      <c r="AW143" s="103"/>
      <c r="AX143" s="103"/>
      <c r="AY143" s="103"/>
      <c r="AZ143" s="103"/>
    </row>
    <row r="144" spans="1:52" ht="15.6" x14ac:dyDescent="0.3">
      <c r="A144" s="103"/>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103"/>
      <c r="AK144" s="103"/>
      <c r="AL144" s="103"/>
      <c r="AM144" s="103"/>
      <c r="AN144" s="103"/>
      <c r="AO144" s="103"/>
      <c r="AP144" s="103"/>
      <c r="AQ144" s="103"/>
      <c r="AR144" s="103"/>
      <c r="AS144" s="103"/>
      <c r="AT144" s="103"/>
      <c r="AU144" s="103"/>
      <c r="AV144" s="103"/>
      <c r="AW144" s="103"/>
      <c r="AX144" s="103"/>
      <c r="AY144" s="103"/>
      <c r="AZ144" s="103"/>
    </row>
    <row r="145" spans="1:52" ht="15.6" x14ac:dyDescent="0.3">
      <c r="A145" s="103"/>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103"/>
      <c r="AK145" s="103"/>
      <c r="AL145" s="103"/>
      <c r="AM145" s="103"/>
      <c r="AN145" s="103"/>
      <c r="AO145" s="103"/>
      <c r="AP145" s="103"/>
      <c r="AQ145" s="103"/>
      <c r="AR145" s="103"/>
      <c r="AS145" s="103"/>
      <c r="AT145" s="103"/>
      <c r="AU145" s="103"/>
      <c r="AV145" s="103"/>
      <c r="AW145" s="103"/>
      <c r="AX145" s="103"/>
      <c r="AY145" s="103"/>
      <c r="AZ145" s="103"/>
    </row>
    <row r="146" spans="1:52" ht="15.6" x14ac:dyDescent="0.3">
      <c r="A146" s="103"/>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103"/>
      <c r="AK146" s="103"/>
      <c r="AL146" s="103"/>
      <c r="AM146" s="103"/>
      <c r="AN146" s="103"/>
      <c r="AO146" s="103"/>
      <c r="AP146" s="103"/>
      <c r="AQ146" s="103"/>
      <c r="AR146" s="103"/>
      <c r="AS146" s="103"/>
      <c r="AT146" s="103"/>
      <c r="AU146" s="103"/>
      <c r="AV146" s="103"/>
      <c r="AW146" s="103"/>
      <c r="AX146" s="103"/>
      <c r="AY146" s="103"/>
      <c r="AZ146" s="103"/>
    </row>
    <row r="147" spans="1:52" ht="15.6" x14ac:dyDescent="0.3">
      <c r="A147" s="103"/>
      <c r="B147" s="103"/>
      <c r="C147" s="103"/>
      <c r="D147" s="103"/>
      <c r="E147" s="103"/>
      <c r="F147" s="103"/>
      <c r="G147" s="103"/>
      <c r="H147" s="103"/>
      <c r="I147" s="103"/>
      <c r="J147" s="103"/>
      <c r="K147" s="103"/>
      <c r="L147" s="103"/>
      <c r="M147" s="103"/>
      <c r="N147" s="103"/>
      <c r="O147" s="103"/>
      <c r="P147" s="103"/>
      <c r="Q147" s="103"/>
      <c r="R147" s="103"/>
      <c r="S147" s="103"/>
      <c r="T147" s="103"/>
      <c r="U147" s="103"/>
      <c r="V147" s="103"/>
      <c r="W147" s="103"/>
      <c r="X147" s="103"/>
      <c r="Y147" s="103"/>
      <c r="Z147" s="103"/>
      <c r="AA147" s="103"/>
      <c r="AB147" s="103"/>
      <c r="AC147" s="103"/>
      <c r="AD147" s="103"/>
      <c r="AE147" s="103"/>
      <c r="AF147" s="103"/>
      <c r="AG147" s="103"/>
      <c r="AH147" s="103"/>
      <c r="AI147" s="103"/>
      <c r="AJ147" s="103"/>
      <c r="AK147" s="103"/>
      <c r="AL147" s="103"/>
      <c r="AM147" s="103"/>
      <c r="AN147" s="103"/>
      <c r="AO147" s="103"/>
      <c r="AP147" s="103"/>
      <c r="AQ147" s="103"/>
      <c r="AR147" s="103"/>
      <c r="AS147" s="103"/>
      <c r="AT147" s="103"/>
      <c r="AU147" s="103"/>
      <c r="AV147" s="103"/>
      <c r="AW147" s="103"/>
      <c r="AX147" s="103"/>
      <c r="AY147" s="103"/>
      <c r="AZ147" s="103"/>
    </row>
    <row r="148" spans="1:52" ht="15.6" x14ac:dyDescent="0.3">
      <c r="A148" s="103"/>
      <c r="B148" s="103"/>
      <c r="C148" s="103"/>
      <c r="D148" s="103"/>
      <c r="E148" s="103"/>
      <c r="F148" s="103"/>
      <c r="G148" s="103"/>
      <c r="H148" s="103"/>
      <c r="I148" s="103"/>
      <c r="J148" s="103"/>
      <c r="K148" s="103"/>
      <c r="L148" s="103"/>
      <c r="M148" s="103"/>
      <c r="N148" s="103"/>
      <c r="O148" s="103"/>
      <c r="P148" s="103"/>
      <c r="Q148" s="103"/>
      <c r="R148" s="103"/>
      <c r="S148" s="103"/>
      <c r="T148" s="103"/>
      <c r="U148" s="103"/>
      <c r="V148" s="103"/>
      <c r="W148" s="103"/>
      <c r="X148" s="103"/>
      <c r="Y148" s="103"/>
      <c r="Z148" s="103"/>
      <c r="AA148" s="103"/>
      <c r="AB148" s="103"/>
      <c r="AC148" s="103"/>
      <c r="AD148" s="103"/>
      <c r="AE148" s="103"/>
      <c r="AF148" s="103"/>
      <c r="AG148" s="103"/>
      <c r="AH148" s="103"/>
      <c r="AI148" s="103"/>
      <c r="AJ148" s="103"/>
      <c r="AK148" s="103"/>
      <c r="AL148" s="103"/>
      <c r="AM148" s="103"/>
      <c r="AN148" s="103"/>
      <c r="AO148" s="103"/>
      <c r="AP148" s="103"/>
      <c r="AQ148" s="103"/>
      <c r="AR148" s="103"/>
      <c r="AS148" s="103"/>
      <c r="AT148" s="103"/>
      <c r="AU148" s="103"/>
      <c r="AV148" s="103"/>
      <c r="AW148" s="103"/>
      <c r="AX148" s="103"/>
      <c r="AY148" s="103"/>
      <c r="AZ148" s="103"/>
    </row>
    <row r="149" spans="1:52" ht="15.6" x14ac:dyDescent="0.3">
      <c r="A149" s="103"/>
      <c r="B149" s="103"/>
      <c r="C149" s="103"/>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c r="AA149" s="103"/>
      <c r="AB149" s="103"/>
      <c r="AC149" s="103"/>
      <c r="AD149" s="103"/>
      <c r="AE149" s="103"/>
      <c r="AF149" s="103"/>
      <c r="AG149" s="103"/>
      <c r="AH149" s="103"/>
      <c r="AI149" s="103"/>
      <c r="AJ149" s="103"/>
      <c r="AK149" s="103"/>
      <c r="AL149" s="103"/>
      <c r="AM149" s="103"/>
      <c r="AN149" s="103"/>
      <c r="AO149" s="103"/>
      <c r="AP149" s="103"/>
      <c r="AQ149" s="103"/>
      <c r="AR149" s="103"/>
      <c r="AS149" s="103"/>
      <c r="AT149" s="103"/>
      <c r="AU149" s="103"/>
      <c r="AV149" s="103"/>
      <c r="AW149" s="103"/>
      <c r="AX149" s="103"/>
      <c r="AY149" s="103"/>
      <c r="AZ149" s="103"/>
    </row>
    <row r="150" spans="1:52" ht="15.6" x14ac:dyDescent="0.3">
      <c r="A150" s="103"/>
      <c r="B150" s="103"/>
      <c r="C150" s="103"/>
      <c r="D150" s="103"/>
      <c r="E150" s="103"/>
      <c r="F150" s="103"/>
      <c r="G150" s="103"/>
      <c r="H150" s="103"/>
      <c r="I150" s="103"/>
      <c r="J150" s="103"/>
      <c r="K150" s="103"/>
      <c r="L150" s="103"/>
      <c r="M150" s="103"/>
      <c r="N150" s="103"/>
      <c r="O150" s="103"/>
      <c r="P150" s="103"/>
      <c r="Q150" s="103"/>
      <c r="R150" s="103"/>
      <c r="S150" s="103"/>
      <c r="T150" s="103"/>
      <c r="U150" s="103"/>
      <c r="V150" s="103"/>
      <c r="W150" s="103"/>
      <c r="X150" s="103"/>
      <c r="Y150" s="103"/>
      <c r="Z150" s="103"/>
      <c r="AA150" s="103"/>
      <c r="AB150" s="103"/>
      <c r="AC150" s="103"/>
      <c r="AD150" s="103"/>
      <c r="AE150" s="103"/>
      <c r="AF150" s="103"/>
      <c r="AG150" s="103"/>
      <c r="AH150" s="103"/>
      <c r="AI150" s="103"/>
      <c r="AJ150" s="103"/>
      <c r="AK150" s="103"/>
      <c r="AL150" s="103"/>
      <c r="AM150" s="103"/>
      <c r="AN150" s="103"/>
      <c r="AO150" s="103"/>
      <c r="AP150" s="103"/>
      <c r="AQ150" s="103"/>
      <c r="AR150" s="103"/>
      <c r="AS150" s="103"/>
      <c r="AT150" s="103"/>
      <c r="AU150" s="103"/>
      <c r="AV150" s="103"/>
      <c r="AW150" s="103"/>
      <c r="AX150" s="103"/>
      <c r="AY150" s="103"/>
      <c r="AZ150" s="103"/>
    </row>
    <row r="151" spans="1:52" ht="15.6" x14ac:dyDescent="0.3">
      <c r="A151" s="103"/>
      <c r="B151" s="103"/>
      <c r="C151" s="103"/>
      <c r="D151" s="103"/>
      <c r="E151" s="103"/>
      <c r="F151" s="103"/>
      <c r="G151" s="103"/>
      <c r="H151" s="103"/>
      <c r="I151" s="103"/>
      <c r="J151" s="103"/>
      <c r="K151" s="103"/>
      <c r="L151" s="103"/>
      <c r="M151" s="103"/>
      <c r="N151" s="103"/>
      <c r="O151" s="103"/>
      <c r="P151" s="103"/>
      <c r="Q151" s="103"/>
      <c r="R151" s="103"/>
      <c r="S151" s="103"/>
      <c r="T151" s="103"/>
      <c r="U151" s="103"/>
      <c r="V151" s="103"/>
      <c r="W151" s="103"/>
      <c r="X151" s="103"/>
      <c r="Y151" s="103"/>
      <c r="Z151" s="103"/>
      <c r="AA151" s="103"/>
      <c r="AB151" s="103"/>
      <c r="AC151" s="103"/>
      <c r="AD151" s="103"/>
      <c r="AE151" s="103"/>
      <c r="AF151" s="103"/>
      <c r="AG151" s="103"/>
      <c r="AH151" s="103"/>
      <c r="AI151" s="103"/>
      <c r="AJ151" s="103"/>
      <c r="AK151" s="103"/>
      <c r="AL151" s="103"/>
      <c r="AM151" s="103"/>
      <c r="AN151" s="103"/>
      <c r="AO151" s="103"/>
      <c r="AP151" s="103"/>
      <c r="AQ151" s="103"/>
      <c r="AR151" s="103"/>
      <c r="AS151" s="103"/>
      <c r="AT151" s="103"/>
      <c r="AU151" s="103"/>
      <c r="AV151" s="103"/>
      <c r="AW151" s="103"/>
      <c r="AX151" s="103"/>
      <c r="AY151" s="103"/>
      <c r="AZ151" s="103"/>
    </row>
    <row r="152" spans="1:52" ht="15.6" x14ac:dyDescent="0.3">
      <c r="A152" s="103"/>
      <c r="B152" s="103"/>
      <c r="C152" s="103"/>
      <c r="D152" s="103"/>
      <c r="E152" s="103"/>
      <c r="F152" s="103"/>
      <c r="G152" s="103"/>
      <c r="H152" s="103"/>
      <c r="I152" s="103"/>
      <c r="J152" s="103"/>
      <c r="K152" s="103"/>
      <c r="L152" s="103"/>
      <c r="M152" s="103"/>
      <c r="N152" s="103"/>
      <c r="O152" s="103"/>
      <c r="P152" s="103"/>
      <c r="Q152" s="103"/>
      <c r="R152" s="103"/>
      <c r="S152" s="103"/>
      <c r="T152" s="103"/>
      <c r="U152" s="103"/>
      <c r="V152" s="103"/>
      <c r="W152" s="103"/>
      <c r="X152" s="103"/>
      <c r="Y152" s="103"/>
      <c r="Z152" s="103"/>
      <c r="AA152" s="103"/>
      <c r="AB152" s="103"/>
      <c r="AC152" s="103"/>
      <c r="AD152" s="103"/>
      <c r="AE152" s="103"/>
      <c r="AF152" s="103"/>
      <c r="AG152" s="103"/>
      <c r="AH152" s="103"/>
      <c r="AI152" s="103"/>
      <c r="AJ152" s="103"/>
      <c r="AK152" s="103"/>
      <c r="AL152" s="103"/>
      <c r="AM152" s="103"/>
      <c r="AN152" s="103"/>
      <c r="AO152" s="103"/>
      <c r="AP152" s="103"/>
      <c r="AQ152" s="103"/>
      <c r="AR152" s="103"/>
      <c r="AS152" s="103"/>
      <c r="AT152" s="103"/>
      <c r="AU152" s="103"/>
      <c r="AV152" s="103"/>
      <c r="AW152" s="103"/>
      <c r="AX152" s="103"/>
      <c r="AY152" s="103"/>
      <c r="AZ152" s="103"/>
    </row>
    <row r="153" spans="1:52" ht="15.6" x14ac:dyDescent="0.3">
      <c r="A153" s="103"/>
      <c r="B153" s="103"/>
      <c r="C153" s="103"/>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103"/>
      <c r="AS153" s="103"/>
      <c r="AT153" s="103"/>
      <c r="AU153" s="103"/>
      <c r="AV153" s="103"/>
      <c r="AW153" s="103"/>
      <c r="AX153" s="103"/>
      <c r="AY153" s="103"/>
      <c r="AZ153" s="103"/>
    </row>
    <row r="154" spans="1:52" ht="15.6" x14ac:dyDescent="0.3">
      <c r="A154" s="103"/>
      <c r="B154" s="103"/>
      <c r="C154" s="103"/>
      <c r="D154" s="103"/>
      <c r="E154" s="103"/>
      <c r="F154" s="103"/>
      <c r="G154" s="103"/>
      <c r="H154" s="103"/>
      <c r="I154" s="103"/>
      <c r="J154" s="103"/>
      <c r="K154" s="103"/>
      <c r="L154" s="103"/>
      <c r="M154" s="103"/>
      <c r="N154" s="103"/>
      <c r="O154" s="103"/>
      <c r="P154" s="103"/>
      <c r="Q154" s="103"/>
      <c r="R154" s="103"/>
      <c r="S154" s="103"/>
      <c r="T154" s="103"/>
      <c r="U154" s="103"/>
      <c r="V154" s="103"/>
      <c r="W154" s="103"/>
      <c r="X154" s="103"/>
      <c r="Y154" s="103"/>
      <c r="Z154" s="103"/>
      <c r="AA154" s="103"/>
      <c r="AB154" s="103"/>
      <c r="AC154" s="103"/>
      <c r="AD154" s="103"/>
      <c r="AE154" s="103"/>
      <c r="AF154" s="103"/>
      <c r="AG154" s="103"/>
      <c r="AH154" s="103"/>
      <c r="AI154" s="103"/>
      <c r="AJ154" s="103"/>
      <c r="AK154" s="103"/>
      <c r="AL154" s="103"/>
      <c r="AM154" s="103"/>
      <c r="AN154" s="103"/>
      <c r="AO154" s="103"/>
      <c r="AP154" s="103"/>
      <c r="AQ154" s="103"/>
      <c r="AR154" s="103"/>
      <c r="AS154" s="103"/>
      <c r="AT154" s="103"/>
      <c r="AU154" s="103"/>
      <c r="AV154" s="103"/>
      <c r="AW154" s="103"/>
      <c r="AX154" s="103"/>
      <c r="AY154" s="103"/>
      <c r="AZ154" s="103"/>
    </row>
    <row r="155" spans="1:52" ht="15.6" x14ac:dyDescent="0.3">
      <c r="A155" s="103"/>
      <c r="B155" s="103"/>
      <c r="C155" s="103"/>
      <c r="D155" s="103"/>
      <c r="E155" s="103"/>
      <c r="F155" s="103"/>
      <c r="G155" s="103"/>
      <c r="H155" s="103"/>
      <c r="I155" s="103"/>
      <c r="J155" s="103"/>
      <c r="K155" s="103"/>
      <c r="L155" s="103"/>
      <c r="M155" s="103"/>
      <c r="N155" s="103"/>
      <c r="O155" s="103"/>
      <c r="P155" s="103"/>
      <c r="Q155" s="103"/>
      <c r="R155" s="103"/>
      <c r="S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c r="AO155" s="103"/>
      <c r="AP155" s="103"/>
      <c r="AQ155" s="103"/>
      <c r="AR155" s="103"/>
      <c r="AS155" s="103"/>
      <c r="AT155" s="103"/>
      <c r="AU155" s="103"/>
      <c r="AV155" s="103"/>
      <c r="AW155" s="103"/>
      <c r="AX155" s="103"/>
      <c r="AY155" s="103"/>
      <c r="AZ155" s="103"/>
    </row>
    <row r="156" spans="1:52" ht="15.6" x14ac:dyDescent="0.3">
      <c r="A156" s="103"/>
      <c r="B156" s="103"/>
      <c r="C156" s="103"/>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103"/>
      <c r="AQ156" s="103"/>
      <c r="AR156" s="103"/>
      <c r="AS156" s="103"/>
      <c r="AT156" s="103"/>
      <c r="AU156" s="103"/>
      <c r="AV156" s="103"/>
      <c r="AW156" s="103"/>
      <c r="AX156" s="103"/>
      <c r="AY156" s="103"/>
      <c r="AZ156" s="103"/>
    </row>
    <row r="157" spans="1:52" ht="15.6" x14ac:dyDescent="0.3">
      <c r="A157" s="103"/>
      <c r="B157" s="103"/>
      <c r="C157" s="103"/>
      <c r="D157" s="103"/>
      <c r="E157" s="103"/>
      <c r="F157" s="103"/>
      <c r="G157" s="103"/>
      <c r="H157" s="103"/>
      <c r="I157" s="103"/>
      <c r="J157" s="103"/>
      <c r="K157" s="103"/>
      <c r="L157" s="103"/>
      <c r="M157" s="103"/>
      <c r="N157" s="103"/>
      <c r="O157" s="103"/>
      <c r="P157" s="103"/>
      <c r="Q157" s="103"/>
      <c r="R157" s="103"/>
      <c r="S157" s="103"/>
      <c r="T157" s="103"/>
      <c r="U157" s="103"/>
      <c r="V157" s="103"/>
      <c r="W157" s="103"/>
      <c r="X157" s="103"/>
      <c r="Y157" s="103"/>
      <c r="Z157" s="103"/>
      <c r="AA157" s="103"/>
      <c r="AB157" s="103"/>
      <c r="AC157" s="103"/>
      <c r="AD157" s="103"/>
      <c r="AE157" s="103"/>
      <c r="AF157" s="103"/>
      <c r="AG157" s="103"/>
      <c r="AH157" s="103"/>
      <c r="AI157" s="103"/>
      <c r="AJ157" s="103"/>
      <c r="AK157" s="103"/>
      <c r="AL157" s="103"/>
      <c r="AM157" s="103"/>
      <c r="AN157" s="103"/>
      <c r="AO157" s="103"/>
      <c r="AP157" s="103"/>
      <c r="AQ157" s="103"/>
      <c r="AR157" s="103"/>
      <c r="AS157" s="103"/>
      <c r="AT157" s="103"/>
      <c r="AU157" s="103"/>
      <c r="AV157" s="103"/>
      <c r="AW157" s="103"/>
      <c r="AX157" s="103"/>
      <c r="AY157" s="103"/>
      <c r="AZ157" s="103"/>
    </row>
    <row r="158" spans="1:52" ht="15.6" x14ac:dyDescent="0.3">
      <c r="A158" s="103"/>
      <c r="B158" s="103"/>
      <c r="C158" s="103"/>
      <c r="D158" s="103"/>
      <c r="E158" s="103"/>
      <c r="F158" s="103"/>
      <c r="G158" s="103"/>
      <c r="H158" s="103"/>
      <c r="I158" s="103"/>
      <c r="J158" s="103"/>
      <c r="K158" s="103"/>
      <c r="L158" s="103"/>
      <c r="M158" s="103"/>
      <c r="N158" s="103"/>
      <c r="O158" s="103"/>
      <c r="P158" s="103"/>
      <c r="Q158" s="103"/>
      <c r="R158" s="103"/>
      <c r="S158" s="103"/>
      <c r="T158" s="103"/>
      <c r="U158" s="103"/>
      <c r="V158" s="103"/>
      <c r="W158" s="103"/>
      <c r="X158" s="103"/>
      <c r="Y158" s="103"/>
      <c r="Z158" s="103"/>
      <c r="AA158" s="103"/>
      <c r="AB158" s="103"/>
      <c r="AC158" s="103"/>
      <c r="AD158" s="103"/>
      <c r="AE158" s="103"/>
      <c r="AF158" s="103"/>
      <c r="AG158" s="103"/>
      <c r="AH158" s="103"/>
      <c r="AI158" s="103"/>
      <c r="AJ158" s="103"/>
      <c r="AK158" s="103"/>
      <c r="AL158" s="103"/>
      <c r="AM158" s="103"/>
      <c r="AN158" s="103"/>
      <c r="AO158" s="103"/>
      <c r="AP158" s="103"/>
      <c r="AQ158" s="103"/>
      <c r="AR158" s="103"/>
      <c r="AS158" s="103"/>
      <c r="AT158" s="103"/>
      <c r="AU158" s="103"/>
      <c r="AV158" s="103"/>
      <c r="AW158" s="103"/>
      <c r="AX158" s="103"/>
      <c r="AY158" s="103"/>
      <c r="AZ158" s="103"/>
    </row>
    <row r="159" spans="1:52" ht="15.6" x14ac:dyDescent="0.3">
      <c r="A159" s="103"/>
      <c r="B159" s="103"/>
      <c r="C159" s="103"/>
      <c r="D159" s="103"/>
      <c r="E159" s="103"/>
      <c r="F159" s="103"/>
      <c r="G159" s="103"/>
      <c r="H159" s="103"/>
      <c r="I159" s="103"/>
      <c r="J159" s="103"/>
      <c r="K159" s="103"/>
      <c r="L159" s="103"/>
      <c r="M159" s="103"/>
      <c r="N159" s="103"/>
      <c r="O159" s="103"/>
      <c r="P159" s="103"/>
      <c r="Q159" s="103"/>
      <c r="R159" s="103"/>
      <c r="S159" s="103"/>
      <c r="T159" s="103"/>
      <c r="U159" s="103"/>
      <c r="V159" s="103"/>
      <c r="W159" s="103"/>
      <c r="X159" s="103"/>
      <c r="Y159" s="103"/>
      <c r="Z159" s="103"/>
      <c r="AA159" s="103"/>
      <c r="AB159" s="103"/>
      <c r="AC159" s="103"/>
      <c r="AD159" s="103"/>
      <c r="AE159" s="103"/>
      <c r="AF159" s="103"/>
      <c r="AG159" s="103"/>
      <c r="AH159" s="103"/>
      <c r="AI159" s="103"/>
      <c r="AJ159" s="103"/>
      <c r="AK159" s="103"/>
      <c r="AL159" s="103"/>
      <c r="AM159" s="103"/>
      <c r="AN159" s="103"/>
      <c r="AO159" s="103"/>
      <c r="AP159" s="103"/>
      <c r="AQ159" s="103"/>
      <c r="AR159" s="103"/>
      <c r="AS159" s="103"/>
      <c r="AT159" s="103"/>
      <c r="AU159" s="103"/>
      <c r="AV159" s="103"/>
      <c r="AW159" s="103"/>
      <c r="AX159" s="103"/>
      <c r="AY159" s="103"/>
      <c r="AZ159" s="103"/>
    </row>
    <row r="160" spans="1:52" ht="15.6" x14ac:dyDescent="0.3">
      <c r="A160" s="103"/>
      <c r="B160" s="103"/>
      <c r="C160" s="103"/>
      <c r="D160" s="103"/>
      <c r="E160" s="103"/>
      <c r="F160" s="103"/>
      <c r="G160" s="103"/>
      <c r="H160" s="103"/>
      <c r="I160" s="103"/>
      <c r="J160" s="103"/>
      <c r="K160" s="103"/>
      <c r="L160" s="103"/>
      <c r="M160" s="103"/>
      <c r="N160" s="103"/>
      <c r="O160" s="103"/>
      <c r="P160" s="103"/>
      <c r="Q160" s="103"/>
      <c r="R160" s="103"/>
      <c r="S160" s="103"/>
      <c r="T160" s="103"/>
      <c r="U160" s="103"/>
      <c r="V160" s="103"/>
      <c r="W160" s="103"/>
      <c r="X160" s="103"/>
      <c r="Y160" s="103"/>
      <c r="Z160" s="103"/>
      <c r="AA160" s="103"/>
      <c r="AB160" s="103"/>
      <c r="AC160" s="103"/>
      <c r="AD160" s="103"/>
      <c r="AE160" s="103"/>
      <c r="AF160" s="103"/>
      <c r="AG160" s="103"/>
      <c r="AH160" s="103"/>
      <c r="AI160" s="103"/>
      <c r="AJ160" s="103"/>
      <c r="AK160" s="103"/>
      <c r="AL160" s="103"/>
      <c r="AM160" s="103"/>
      <c r="AN160" s="103"/>
      <c r="AO160" s="103"/>
      <c r="AP160" s="103"/>
      <c r="AQ160" s="103"/>
      <c r="AR160" s="103"/>
      <c r="AS160" s="103"/>
      <c r="AT160" s="103"/>
      <c r="AU160" s="103"/>
      <c r="AV160" s="103"/>
      <c r="AW160" s="103"/>
      <c r="AX160" s="103"/>
      <c r="AY160" s="103"/>
      <c r="AZ160" s="103"/>
    </row>
    <row r="161" spans="1:52" ht="15.6" x14ac:dyDescent="0.3">
      <c r="A161" s="103"/>
      <c r="B161" s="103"/>
      <c r="C161" s="103"/>
      <c r="D161" s="103"/>
      <c r="E161" s="103"/>
      <c r="F161" s="103"/>
      <c r="G161" s="103"/>
      <c r="H161" s="103"/>
      <c r="I161" s="103"/>
      <c r="J161" s="103"/>
      <c r="K161" s="103"/>
      <c r="L161" s="103"/>
      <c r="M161" s="103"/>
      <c r="N161" s="103"/>
      <c r="O161" s="103"/>
      <c r="P161" s="103"/>
      <c r="Q161" s="103"/>
      <c r="R161" s="103"/>
      <c r="S161" s="103"/>
      <c r="T161" s="103"/>
      <c r="U161" s="103"/>
      <c r="V161" s="103"/>
      <c r="W161" s="103"/>
      <c r="X161" s="103"/>
      <c r="Y161" s="103"/>
      <c r="Z161" s="103"/>
      <c r="AA161" s="103"/>
      <c r="AB161" s="103"/>
      <c r="AC161" s="103"/>
      <c r="AD161" s="103"/>
      <c r="AE161" s="103"/>
      <c r="AF161" s="103"/>
      <c r="AG161" s="103"/>
      <c r="AH161" s="103"/>
      <c r="AI161" s="103"/>
      <c r="AJ161" s="103"/>
      <c r="AK161" s="103"/>
      <c r="AL161" s="103"/>
      <c r="AM161" s="103"/>
      <c r="AN161" s="103"/>
      <c r="AO161" s="103"/>
      <c r="AP161" s="103"/>
      <c r="AQ161" s="103"/>
      <c r="AR161" s="103"/>
      <c r="AS161" s="103"/>
      <c r="AT161" s="103"/>
      <c r="AU161" s="103"/>
      <c r="AV161" s="103"/>
      <c r="AW161" s="103"/>
      <c r="AX161" s="103"/>
      <c r="AY161" s="103"/>
      <c r="AZ161" s="103"/>
    </row>
    <row r="162" spans="1:52" ht="15.6" x14ac:dyDescent="0.3">
      <c r="A162" s="103"/>
      <c r="B162" s="103"/>
      <c r="C162" s="103"/>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c r="Z162" s="103"/>
      <c r="AA162" s="103"/>
      <c r="AB162" s="103"/>
      <c r="AC162" s="103"/>
      <c r="AD162" s="103"/>
      <c r="AE162" s="103"/>
      <c r="AF162" s="103"/>
      <c r="AG162" s="103"/>
      <c r="AH162" s="103"/>
      <c r="AI162" s="103"/>
      <c r="AJ162" s="103"/>
      <c r="AK162" s="103"/>
      <c r="AL162" s="103"/>
      <c r="AM162" s="103"/>
      <c r="AN162" s="103"/>
      <c r="AO162" s="103"/>
      <c r="AP162" s="103"/>
      <c r="AQ162" s="103"/>
      <c r="AR162" s="103"/>
      <c r="AS162" s="103"/>
      <c r="AT162" s="103"/>
      <c r="AU162" s="103"/>
      <c r="AV162" s="103"/>
      <c r="AW162" s="103"/>
      <c r="AX162" s="103"/>
      <c r="AY162" s="103"/>
      <c r="AZ162" s="103"/>
    </row>
    <row r="163" spans="1:52" ht="15.6" x14ac:dyDescent="0.3">
      <c r="A163" s="103"/>
      <c r="B163" s="103"/>
      <c r="C163" s="103"/>
      <c r="D163" s="103"/>
      <c r="E163" s="103"/>
      <c r="F163" s="103"/>
      <c r="G163" s="103"/>
      <c r="H163" s="103"/>
      <c r="I163" s="103"/>
      <c r="J163" s="103"/>
      <c r="K163" s="103"/>
      <c r="L163" s="103"/>
      <c r="M163" s="103"/>
      <c r="N163" s="103"/>
      <c r="O163" s="103"/>
      <c r="P163" s="103"/>
      <c r="Q163" s="103"/>
      <c r="R163" s="103"/>
      <c r="S163" s="103"/>
      <c r="T163" s="103"/>
      <c r="U163" s="103"/>
      <c r="V163" s="103"/>
      <c r="W163" s="103"/>
      <c r="X163" s="103"/>
      <c r="Y163" s="103"/>
      <c r="Z163" s="103"/>
      <c r="AA163" s="103"/>
      <c r="AB163" s="103"/>
      <c r="AC163" s="103"/>
      <c r="AD163" s="103"/>
      <c r="AE163" s="103"/>
      <c r="AF163" s="103"/>
      <c r="AG163" s="103"/>
      <c r="AH163" s="103"/>
      <c r="AI163" s="103"/>
      <c r="AJ163" s="103"/>
      <c r="AK163" s="103"/>
      <c r="AL163" s="103"/>
      <c r="AM163" s="103"/>
      <c r="AN163" s="103"/>
      <c r="AO163" s="103"/>
      <c r="AP163" s="103"/>
      <c r="AQ163" s="103"/>
      <c r="AR163" s="103"/>
      <c r="AS163" s="103"/>
      <c r="AT163" s="103"/>
      <c r="AU163" s="103"/>
      <c r="AV163" s="103"/>
      <c r="AW163" s="103"/>
      <c r="AX163" s="103"/>
      <c r="AY163" s="103"/>
      <c r="AZ163" s="103"/>
    </row>
    <row r="164" spans="1:52" ht="15.6" x14ac:dyDescent="0.3">
      <c r="A164" s="103"/>
      <c r="B164" s="103"/>
      <c r="C164" s="103"/>
      <c r="D164" s="103"/>
      <c r="E164" s="103"/>
      <c r="F164" s="103"/>
      <c r="G164" s="103"/>
      <c r="H164" s="103"/>
      <c r="I164" s="103"/>
      <c r="J164" s="103"/>
      <c r="K164" s="103"/>
      <c r="L164" s="103"/>
      <c r="M164" s="103"/>
      <c r="N164" s="103"/>
      <c r="O164" s="103"/>
      <c r="P164" s="103"/>
      <c r="Q164" s="103"/>
      <c r="R164" s="103"/>
      <c r="S164" s="103"/>
      <c r="T164" s="103"/>
      <c r="U164" s="103"/>
      <c r="V164" s="103"/>
      <c r="W164" s="103"/>
      <c r="X164" s="103"/>
      <c r="Y164" s="103"/>
      <c r="Z164" s="103"/>
      <c r="AA164" s="103"/>
      <c r="AB164" s="103"/>
      <c r="AC164" s="103"/>
      <c r="AD164" s="103"/>
      <c r="AE164" s="103"/>
      <c r="AF164" s="103"/>
      <c r="AG164" s="103"/>
      <c r="AH164" s="103"/>
      <c r="AI164" s="103"/>
      <c r="AJ164" s="103"/>
      <c r="AK164" s="103"/>
      <c r="AL164" s="103"/>
      <c r="AM164" s="103"/>
      <c r="AN164" s="103"/>
      <c r="AO164" s="103"/>
      <c r="AP164" s="103"/>
      <c r="AQ164" s="103"/>
      <c r="AR164" s="103"/>
      <c r="AS164" s="103"/>
      <c r="AT164" s="103"/>
      <c r="AU164" s="103"/>
      <c r="AV164" s="103"/>
      <c r="AW164" s="103"/>
      <c r="AX164" s="103"/>
      <c r="AY164" s="103"/>
      <c r="AZ164" s="103"/>
    </row>
    <row r="165" spans="1:52" ht="15.6" x14ac:dyDescent="0.3">
      <c r="A165" s="103"/>
      <c r="B165" s="103"/>
      <c r="C165" s="103"/>
      <c r="D165" s="103"/>
      <c r="E165" s="103"/>
      <c r="F165" s="103"/>
      <c r="G165" s="103"/>
      <c r="H165" s="103"/>
      <c r="I165" s="103"/>
      <c r="J165" s="103"/>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103"/>
      <c r="AK165" s="103"/>
      <c r="AL165" s="103"/>
      <c r="AM165" s="103"/>
      <c r="AN165" s="103"/>
      <c r="AO165" s="103"/>
      <c r="AP165" s="103"/>
      <c r="AQ165" s="103"/>
      <c r="AR165" s="103"/>
      <c r="AS165" s="103"/>
      <c r="AT165" s="103"/>
      <c r="AU165" s="103"/>
      <c r="AV165" s="103"/>
      <c r="AW165" s="103"/>
      <c r="AX165" s="103"/>
      <c r="AY165" s="103"/>
      <c r="AZ165" s="103"/>
    </row>
    <row r="166" spans="1:52" ht="15.6" x14ac:dyDescent="0.3">
      <c r="A166" s="103"/>
      <c r="B166" s="103"/>
      <c r="C166" s="103"/>
      <c r="D166" s="103"/>
      <c r="E166" s="103"/>
      <c r="F166" s="103"/>
      <c r="G166" s="103"/>
      <c r="H166" s="103"/>
      <c r="I166" s="103"/>
      <c r="J166" s="103"/>
      <c r="K166" s="103"/>
      <c r="L166" s="103"/>
      <c r="M166" s="103"/>
      <c r="N166" s="103"/>
      <c r="O166" s="103"/>
      <c r="P166" s="103"/>
      <c r="Q166" s="103"/>
      <c r="R166" s="103"/>
      <c r="S166" s="103"/>
      <c r="T166" s="103"/>
      <c r="U166" s="103"/>
      <c r="V166" s="103"/>
      <c r="W166" s="103"/>
      <c r="X166" s="103"/>
      <c r="Y166" s="103"/>
      <c r="Z166" s="103"/>
      <c r="AA166" s="103"/>
      <c r="AB166" s="103"/>
      <c r="AC166" s="103"/>
      <c r="AD166" s="103"/>
      <c r="AE166" s="103"/>
      <c r="AF166" s="103"/>
      <c r="AG166" s="103"/>
      <c r="AH166" s="103"/>
      <c r="AI166" s="103"/>
      <c r="AJ166" s="103"/>
      <c r="AK166" s="103"/>
      <c r="AL166" s="103"/>
      <c r="AM166" s="103"/>
      <c r="AN166" s="103"/>
      <c r="AO166" s="103"/>
      <c r="AP166" s="103"/>
      <c r="AQ166" s="103"/>
      <c r="AR166" s="103"/>
      <c r="AS166" s="103"/>
      <c r="AT166" s="103"/>
      <c r="AU166" s="103"/>
      <c r="AV166" s="103"/>
      <c r="AW166" s="103"/>
      <c r="AX166" s="103"/>
      <c r="AY166" s="103"/>
      <c r="AZ166" s="103"/>
    </row>
    <row r="167" spans="1:52" ht="15.6" x14ac:dyDescent="0.3">
      <c r="A167" s="103"/>
      <c r="B167" s="103"/>
      <c r="C167" s="103"/>
      <c r="D167" s="103"/>
      <c r="E167" s="103"/>
      <c r="F167" s="103"/>
      <c r="G167" s="103"/>
      <c r="H167" s="103"/>
      <c r="I167" s="103"/>
      <c r="J167" s="103"/>
      <c r="K167" s="103"/>
      <c r="L167" s="103"/>
      <c r="M167" s="103"/>
      <c r="N167" s="103"/>
      <c r="O167" s="103"/>
      <c r="P167" s="103"/>
      <c r="Q167" s="103"/>
      <c r="R167" s="103"/>
      <c r="S167" s="103"/>
      <c r="T167" s="103"/>
      <c r="U167" s="103"/>
      <c r="V167" s="103"/>
      <c r="W167" s="103"/>
      <c r="X167" s="103"/>
      <c r="Y167" s="103"/>
      <c r="Z167" s="103"/>
      <c r="AA167" s="103"/>
      <c r="AB167" s="103"/>
      <c r="AC167" s="103"/>
      <c r="AD167" s="103"/>
      <c r="AE167" s="103"/>
      <c r="AF167" s="103"/>
      <c r="AG167" s="103"/>
      <c r="AH167" s="103"/>
      <c r="AI167" s="103"/>
      <c r="AJ167" s="103"/>
      <c r="AK167" s="103"/>
      <c r="AL167" s="103"/>
      <c r="AM167" s="103"/>
      <c r="AN167" s="103"/>
      <c r="AO167" s="103"/>
      <c r="AP167" s="103"/>
      <c r="AQ167" s="103"/>
      <c r="AR167" s="103"/>
      <c r="AS167" s="103"/>
      <c r="AT167" s="103"/>
      <c r="AU167" s="103"/>
      <c r="AV167" s="103"/>
      <c r="AW167" s="103"/>
      <c r="AX167" s="103"/>
      <c r="AY167" s="103"/>
      <c r="AZ167" s="103"/>
    </row>
    <row r="168" spans="1:52" ht="15.6" x14ac:dyDescent="0.3">
      <c r="A168" s="103"/>
      <c r="B168" s="103"/>
      <c r="C168" s="103"/>
      <c r="D168" s="103"/>
      <c r="E168" s="103"/>
      <c r="F168" s="103"/>
      <c r="G168" s="103"/>
      <c r="H168" s="103"/>
      <c r="I168" s="103"/>
      <c r="J168" s="103"/>
      <c r="K168" s="103"/>
      <c r="L168" s="103"/>
      <c r="M168" s="103"/>
      <c r="N168" s="103"/>
      <c r="O168" s="103"/>
      <c r="P168" s="103"/>
      <c r="Q168" s="103"/>
      <c r="R168" s="103"/>
      <c r="S168" s="103"/>
      <c r="T168" s="103"/>
      <c r="U168" s="103"/>
      <c r="V168" s="103"/>
      <c r="W168" s="103"/>
      <c r="X168" s="103"/>
      <c r="Y168" s="103"/>
      <c r="Z168" s="103"/>
      <c r="AA168" s="103"/>
      <c r="AB168" s="103"/>
      <c r="AC168" s="103"/>
      <c r="AD168" s="103"/>
      <c r="AE168" s="103"/>
      <c r="AF168" s="103"/>
      <c r="AG168" s="103"/>
      <c r="AH168" s="103"/>
      <c r="AI168" s="103"/>
      <c r="AJ168" s="103"/>
      <c r="AK168" s="103"/>
      <c r="AL168" s="103"/>
      <c r="AM168" s="103"/>
      <c r="AN168" s="103"/>
      <c r="AO168" s="103"/>
      <c r="AP168" s="103"/>
      <c r="AQ168" s="103"/>
      <c r="AR168" s="103"/>
      <c r="AS168" s="103"/>
      <c r="AT168" s="103"/>
      <c r="AU168" s="103"/>
      <c r="AV168" s="103"/>
      <c r="AW168" s="103"/>
      <c r="AX168" s="103"/>
      <c r="AY168" s="103"/>
      <c r="AZ168" s="103"/>
    </row>
    <row r="169" spans="1:52" ht="15.6" x14ac:dyDescent="0.3">
      <c r="A169" s="103"/>
      <c r="B169" s="103"/>
      <c r="C169" s="103"/>
      <c r="D169" s="103"/>
      <c r="E169" s="103"/>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3"/>
      <c r="AY169" s="103"/>
      <c r="AZ169" s="103"/>
    </row>
    <row r="170" spans="1:52" ht="15.6" x14ac:dyDescent="0.3">
      <c r="A170" s="103"/>
      <c r="B170" s="103"/>
      <c r="C170" s="103"/>
      <c r="D170" s="103"/>
      <c r="E170" s="103"/>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P170" s="103"/>
      <c r="AQ170" s="103"/>
      <c r="AR170" s="103"/>
      <c r="AS170" s="103"/>
      <c r="AT170" s="103"/>
      <c r="AU170" s="103"/>
      <c r="AV170" s="103"/>
      <c r="AW170" s="103"/>
      <c r="AX170" s="103"/>
      <c r="AY170" s="103"/>
      <c r="AZ170" s="103"/>
    </row>
    <row r="171" spans="1:52" ht="15.6" x14ac:dyDescent="0.3">
      <c r="A171" s="103"/>
      <c r="B171" s="103"/>
      <c r="C171" s="103"/>
      <c r="D171" s="103"/>
      <c r="E171" s="103"/>
      <c r="F171" s="103"/>
      <c r="G171" s="103"/>
      <c r="H171" s="103"/>
      <c r="I171" s="103"/>
      <c r="J171" s="103"/>
      <c r="K171" s="103"/>
      <c r="L171" s="103"/>
      <c r="M171" s="103"/>
      <c r="N171" s="103"/>
      <c r="O171" s="103"/>
      <c r="P171" s="103"/>
      <c r="Q171" s="103"/>
      <c r="R171" s="103"/>
      <c r="S171" s="103"/>
      <c r="T171" s="103"/>
      <c r="U171" s="103"/>
      <c r="V171" s="103"/>
      <c r="W171" s="103"/>
      <c r="X171" s="103"/>
      <c r="Y171" s="103"/>
      <c r="Z171" s="103"/>
      <c r="AA171" s="103"/>
      <c r="AB171" s="103"/>
      <c r="AC171" s="103"/>
      <c r="AD171" s="103"/>
      <c r="AE171" s="103"/>
      <c r="AF171" s="103"/>
      <c r="AG171" s="103"/>
      <c r="AH171" s="103"/>
      <c r="AI171" s="103"/>
      <c r="AJ171" s="103"/>
      <c r="AK171" s="103"/>
      <c r="AL171" s="103"/>
      <c r="AM171" s="103"/>
      <c r="AN171" s="103"/>
      <c r="AO171" s="103"/>
      <c r="AP171" s="103"/>
      <c r="AQ171" s="103"/>
      <c r="AR171" s="103"/>
      <c r="AS171" s="103"/>
      <c r="AT171" s="103"/>
      <c r="AU171" s="103"/>
      <c r="AV171" s="103"/>
      <c r="AW171" s="103"/>
      <c r="AX171" s="103"/>
      <c r="AY171" s="103"/>
      <c r="AZ171" s="103"/>
    </row>
    <row r="172" spans="1:52" ht="15.6" x14ac:dyDescent="0.3">
      <c r="A172" s="103"/>
      <c r="B172" s="103"/>
      <c r="C172" s="103"/>
      <c r="D172" s="103"/>
      <c r="E172" s="103"/>
      <c r="F172" s="103"/>
      <c r="G172" s="103"/>
      <c r="H172" s="103"/>
      <c r="I172" s="103"/>
      <c r="J172" s="103"/>
      <c r="K172" s="103"/>
      <c r="L172" s="103"/>
      <c r="M172" s="103"/>
      <c r="N172" s="103"/>
      <c r="O172" s="103"/>
      <c r="P172" s="103"/>
      <c r="Q172" s="103"/>
      <c r="R172" s="103"/>
      <c r="S172" s="103"/>
      <c r="T172" s="103"/>
      <c r="U172" s="103"/>
      <c r="V172" s="103"/>
      <c r="W172" s="103"/>
      <c r="X172" s="103"/>
      <c r="Y172" s="103"/>
      <c r="Z172" s="103"/>
      <c r="AA172" s="103"/>
      <c r="AB172" s="103"/>
      <c r="AC172" s="103"/>
      <c r="AD172" s="103"/>
      <c r="AE172" s="103"/>
      <c r="AF172" s="103"/>
      <c r="AG172" s="103"/>
      <c r="AH172" s="103"/>
      <c r="AI172" s="103"/>
      <c r="AJ172" s="103"/>
      <c r="AK172" s="103"/>
      <c r="AL172" s="103"/>
      <c r="AM172" s="103"/>
      <c r="AN172" s="103"/>
      <c r="AO172" s="103"/>
      <c r="AP172" s="103"/>
      <c r="AQ172" s="103"/>
      <c r="AR172" s="103"/>
      <c r="AS172" s="103"/>
      <c r="AT172" s="103"/>
      <c r="AU172" s="103"/>
      <c r="AV172" s="103"/>
      <c r="AW172" s="103"/>
      <c r="AX172" s="103"/>
      <c r="AY172" s="103"/>
      <c r="AZ172" s="103"/>
    </row>
    <row r="173" spans="1:52" ht="15.6" x14ac:dyDescent="0.3">
      <c r="A173" s="103"/>
      <c r="B173" s="103"/>
      <c r="C173" s="103"/>
      <c r="D173" s="103"/>
      <c r="E173" s="103"/>
      <c r="F173" s="103"/>
      <c r="G173" s="103"/>
      <c r="H173" s="103"/>
      <c r="I173" s="103"/>
      <c r="J173" s="103"/>
      <c r="K173" s="103"/>
      <c r="L173" s="103"/>
      <c r="M173" s="103"/>
      <c r="N173" s="103"/>
      <c r="O173" s="103"/>
      <c r="P173" s="103"/>
      <c r="Q173" s="103"/>
      <c r="R173" s="103"/>
      <c r="S173" s="103"/>
      <c r="T173" s="103"/>
      <c r="U173" s="103"/>
      <c r="V173" s="103"/>
      <c r="W173" s="103"/>
      <c r="X173" s="103"/>
      <c r="Y173" s="103"/>
      <c r="Z173" s="103"/>
      <c r="AA173" s="103"/>
      <c r="AB173" s="103"/>
      <c r="AC173" s="103"/>
      <c r="AD173" s="103"/>
      <c r="AE173" s="103"/>
      <c r="AF173" s="103"/>
      <c r="AG173" s="103"/>
      <c r="AH173" s="103"/>
      <c r="AI173" s="103"/>
      <c r="AJ173" s="103"/>
      <c r="AK173" s="103"/>
      <c r="AL173" s="103"/>
      <c r="AM173" s="103"/>
      <c r="AN173" s="103"/>
      <c r="AO173" s="103"/>
      <c r="AP173" s="103"/>
      <c r="AQ173" s="103"/>
      <c r="AR173" s="103"/>
      <c r="AS173" s="103"/>
      <c r="AT173" s="103"/>
      <c r="AU173" s="103"/>
      <c r="AV173" s="103"/>
      <c r="AW173" s="103"/>
      <c r="AX173" s="103"/>
      <c r="AY173" s="103"/>
      <c r="AZ173" s="103"/>
    </row>
    <row r="174" spans="1:52" ht="15.6" x14ac:dyDescent="0.3">
      <c r="A174" s="103"/>
      <c r="B174" s="103"/>
      <c r="C174" s="103"/>
      <c r="D174" s="103"/>
      <c r="E174" s="103"/>
      <c r="F174" s="103"/>
      <c r="G174" s="103"/>
      <c r="H174" s="103"/>
      <c r="I174" s="103"/>
      <c r="J174" s="103"/>
      <c r="K174" s="103"/>
      <c r="L174" s="103"/>
      <c r="M174" s="103"/>
      <c r="N174" s="103"/>
      <c r="O174" s="103"/>
      <c r="P174" s="103"/>
      <c r="Q174" s="103"/>
      <c r="R174" s="103"/>
      <c r="S174" s="103"/>
      <c r="T174" s="103"/>
      <c r="U174" s="103"/>
      <c r="V174" s="103"/>
      <c r="W174" s="103"/>
      <c r="X174" s="103"/>
      <c r="Y174" s="103"/>
      <c r="Z174" s="103"/>
      <c r="AA174" s="103"/>
      <c r="AB174" s="103"/>
      <c r="AC174" s="103"/>
      <c r="AD174" s="103"/>
      <c r="AE174" s="103"/>
      <c r="AF174" s="103"/>
      <c r="AG174" s="103"/>
      <c r="AH174" s="103"/>
      <c r="AI174" s="103"/>
      <c r="AJ174" s="103"/>
      <c r="AK174" s="103"/>
      <c r="AL174" s="103"/>
      <c r="AM174" s="103"/>
      <c r="AN174" s="103"/>
      <c r="AO174" s="103"/>
      <c r="AP174" s="103"/>
      <c r="AQ174" s="103"/>
      <c r="AR174" s="103"/>
      <c r="AS174" s="103"/>
      <c r="AT174" s="103"/>
      <c r="AU174" s="103"/>
      <c r="AV174" s="103"/>
      <c r="AW174" s="103"/>
      <c r="AX174" s="103"/>
      <c r="AY174" s="103"/>
      <c r="AZ174" s="103"/>
    </row>
    <row r="175" spans="1:52" ht="15.6" x14ac:dyDescent="0.3">
      <c r="A175" s="103"/>
      <c r="B175" s="103"/>
      <c r="C175" s="103"/>
      <c r="D175" s="103"/>
      <c r="E175" s="103"/>
      <c r="F175" s="103"/>
      <c r="G175" s="103"/>
      <c r="H175" s="103"/>
      <c r="I175" s="103"/>
      <c r="J175" s="103"/>
      <c r="K175" s="103"/>
      <c r="L175" s="103"/>
      <c r="M175" s="103"/>
      <c r="N175" s="103"/>
      <c r="O175" s="103"/>
      <c r="P175" s="103"/>
      <c r="Q175" s="103"/>
      <c r="R175" s="103"/>
      <c r="S175" s="103"/>
      <c r="T175" s="103"/>
      <c r="U175" s="103"/>
      <c r="V175" s="103"/>
      <c r="W175" s="103"/>
      <c r="X175" s="103"/>
      <c r="Y175" s="103"/>
      <c r="Z175" s="103"/>
      <c r="AA175" s="103"/>
      <c r="AB175" s="103"/>
      <c r="AC175" s="103"/>
      <c r="AD175" s="103"/>
      <c r="AE175" s="103"/>
      <c r="AF175" s="103"/>
      <c r="AG175" s="103"/>
      <c r="AH175" s="103"/>
      <c r="AI175" s="103"/>
      <c r="AJ175" s="103"/>
      <c r="AK175" s="103"/>
      <c r="AL175" s="103"/>
      <c r="AM175" s="103"/>
      <c r="AN175" s="103"/>
      <c r="AO175" s="103"/>
      <c r="AP175" s="103"/>
      <c r="AQ175" s="103"/>
      <c r="AR175" s="103"/>
      <c r="AS175" s="103"/>
      <c r="AT175" s="103"/>
      <c r="AU175" s="103"/>
      <c r="AV175" s="103"/>
      <c r="AW175" s="103"/>
      <c r="AX175" s="103"/>
      <c r="AY175" s="103"/>
      <c r="AZ175" s="103"/>
    </row>
    <row r="176" spans="1:52" ht="15.6" x14ac:dyDescent="0.3">
      <c r="A176" s="103"/>
      <c r="B176" s="103"/>
      <c r="C176" s="103"/>
      <c r="D176" s="103"/>
      <c r="E176" s="103"/>
      <c r="F176" s="103"/>
      <c r="G176" s="103"/>
      <c r="H176" s="103"/>
      <c r="I176" s="103"/>
      <c r="J176" s="103"/>
      <c r="K176" s="103"/>
      <c r="L176" s="103"/>
      <c r="M176" s="103"/>
      <c r="N176" s="103"/>
      <c r="O176" s="103"/>
      <c r="P176" s="103"/>
      <c r="Q176" s="103"/>
      <c r="R176" s="103"/>
      <c r="S176" s="103"/>
      <c r="T176" s="103"/>
      <c r="U176" s="103"/>
      <c r="V176" s="103"/>
      <c r="W176" s="103"/>
      <c r="X176" s="103"/>
      <c r="Y176" s="103"/>
      <c r="Z176" s="103"/>
      <c r="AA176" s="103"/>
      <c r="AB176" s="103"/>
      <c r="AC176" s="103"/>
      <c r="AD176" s="103"/>
      <c r="AE176" s="103"/>
      <c r="AF176" s="103"/>
      <c r="AG176" s="103"/>
      <c r="AH176" s="103"/>
      <c r="AI176" s="103"/>
      <c r="AJ176" s="103"/>
      <c r="AK176" s="103"/>
      <c r="AL176" s="103"/>
      <c r="AM176" s="103"/>
      <c r="AN176" s="103"/>
      <c r="AO176" s="103"/>
      <c r="AP176" s="103"/>
      <c r="AQ176" s="103"/>
      <c r="AR176" s="103"/>
      <c r="AS176" s="103"/>
      <c r="AT176" s="103"/>
      <c r="AU176" s="103"/>
      <c r="AV176" s="103"/>
      <c r="AW176" s="103"/>
      <c r="AX176" s="103"/>
      <c r="AY176" s="103"/>
      <c r="AZ176" s="103"/>
    </row>
    <row r="177" spans="1:52" ht="15.6" x14ac:dyDescent="0.3">
      <c r="A177" s="103"/>
      <c r="B177" s="103"/>
      <c r="C177" s="103"/>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103"/>
      <c r="AS177" s="103"/>
      <c r="AT177" s="103"/>
      <c r="AU177" s="103"/>
      <c r="AV177" s="103"/>
      <c r="AW177" s="103"/>
      <c r="AX177" s="103"/>
      <c r="AY177" s="103"/>
      <c r="AZ177" s="103"/>
    </row>
    <row r="178" spans="1:52" ht="15.6" x14ac:dyDescent="0.3">
      <c r="A178" s="103"/>
      <c r="B178" s="103"/>
      <c r="C178" s="103"/>
      <c r="D178" s="103"/>
      <c r="E178" s="103"/>
      <c r="F178" s="103"/>
      <c r="G178" s="103"/>
      <c r="H178" s="103"/>
      <c r="I178" s="103"/>
      <c r="J178" s="103"/>
      <c r="K178" s="103"/>
      <c r="L178" s="103"/>
      <c r="M178" s="103"/>
      <c r="N178" s="103"/>
      <c r="O178" s="103"/>
      <c r="P178" s="103"/>
      <c r="Q178" s="103"/>
      <c r="R178" s="103"/>
      <c r="S178" s="103"/>
      <c r="T178" s="103"/>
      <c r="U178" s="103"/>
      <c r="V178" s="103"/>
      <c r="W178" s="103"/>
      <c r="X178" s="103"/>
      <c r="Y178" s="103"/>
      <c r="Z178" s="103"/>
      <c r="AA178" s="103"/>
      <c r="AB178" s="103"/>
      <c r="AC178" s="103"/>
      <c r="AD178" s="103"/>
      <c r="AE178" s="103"/>
      <c r="AF178" s="103"/>
      <c r="AG178" s="103"/>
      <c r="AH178" s="103"/>
      <c r="AI178" s="103"/>
      <c r="AJ178" s="103"/>
      <c r="AK178" s="103"/>
      <c r="AL178" s="103"/>
      <c r="AM178" s="103"/>
      <c r="AN178" s="103"/>
      <c r="AO178" s="103"/>
      <c r="AP178" s="103"/>
      <c r="AQ178" s="103"/>
      <c r="AR178" s="103"/>
      <c r="AS178" s="103"/>
      <c r="AT178" s="103"/>
      <c r="AU178" s="103"/>
      <c r="AV178" s="103"/>
      <c r="AW178" s="103"/>
      <c r="AX178" s="103"/>
      <c r="AY178" s="103"/>
      <c r="AZ178" s="103"/>
    </row>
    <row r="179" spans="1:52" ht="15.6" x14ac:dyDescent="0.3">
      <c r="A179" s="103"/>
      <c r="B179" s="103"/>
      <c r="C179" s="103"/>
      <c r="D179" s="103"/>
      <c r="E179" s="103"/>
      <c r="F179" s="103"/>
      <c r="G179" s="103"/>
      <c r="H179" s="103"/>
      <c r="I179" s="103"/>
      <c r="J179" s="103"/>
      <c r="K179" s="103"/>
      <c r="L179" s="103"/>
      <c r="M179" s="103"/>
      <c r="N179" s="103"/>
      <c r="O179" s="103"/>
      <c r="P179" s="103"/>
      <c r="Q179" s="103"/>
      <c r="R179" s="103"/>
      <c r="S179" s="103"/>
      <c r="T179" s="103"/>
      <c r="U179" s="103"/>
      <c r="V179" s="103"/>
      <c r="W179" s="103"/>
      <c r="X179" s="103"/>
      <c r="Y179" s="103"/>
      <c r="Z179" s="103"/>
      <c r="AA179" s="103"/>
      <c r="AB179" s="103"/>
      <c r="AC179" s="103"/>
      <c r="AD179" s="103"/>
      <c r="AE179" s="103"/>
      <c r="AF179" s="103"/>
      <c r="AG179" s="103"/>
      <c r="AH179" s="103"/>
      <c r="AI179" s="103"/>
      <c r="AJ179" s="103"/>
      <c r="AK179" s="103"/>
      <c r="AL179" s="103"/>
      <c r="AM179" s="103"/>
      <c r="AN179" s="103"/>
      <c r="AO179" s="103"/>
      <c r="AP179" s="103"/>
      <c r="AQ179" s="103"/>
      <c r="AR179" s="103"/>
      <c r="AS179" s="103"/>
      <c r="AT179" s="103"/>
      <c r="AU179" s="103"/>
      <c r="AV179" s="103"/>
      <c r="AW179" s="103"/>
      <c r="AX179" s="103"/>
      <c r="AY179" s="103"/>
      <c r="AZ179" s="103"/>
    </row>
    <row r="180" spans="1:52" ht="15.6" x14ac:dyDescent="0.3">
      <c r="A180" s="103"/>
      <c r="B180" s="103"/>
      <c r="C180" s="103"/>
      <c r="D180" s="103"/>
      <c r="E180" s="103"/>
      <c r="F180" s="103"/>
      <c r="G180" s="103"/>
      <c r="H180" s="103"/>
      <c r="I180" s="103"/>
      <c r="J180" s="103"/>
      <c r="K180" s="103"/>
      <c r="L180" s="103"/>
      <c r="M180" s="103"/>
      <c r="N180" s="103"/>
      <c r="O180" s="103"/>
      <c r="P180" s="103"/>
      <c r="Q180" s="103"/>
      <c r="R180" s="103"/>
      <c r="S180" s="103"/>
      <c r="T180" s="103"/>
      <c r="U180" s="103"/>
      <c r="V180" s="103"/>
      <c r="W180" s="103"/>
      <c r="X180" s="103"/>
      <c r="Y180" s="103"/>
      <c r="Z180" s="103"/>
      <c r="AA180" s="103"/>
      <c r="AB180" s="103"/>
      <c r="AC180" s="103"/>
      <c r="AD180" s="103"/>
      <c r="AE180" s="103"/>
      <c r="AF180" s="103"/>
      <c r="AG180" s="103"/>
      <c r="AH180" s="103"/>
      <c r="AI180" s="103"/>
      <c r="AJ180" s="103"/>
      <c r="AK180" s="103"/>
      <c r="AL180" s="103"/>
      <c r="AM180" s="103"/>
      <c r="AN180" s="103"/>
      <c r="AO180" s="103"/>
      <c r="AP180" s="103"/>
      <c r="AQ180" s="103"/>
      <c r="AR180" s="103"/>
      <c r="AS180" s="103"/>
      <c r="AT180" s="103"/>
      <c r="AU180" s="103"/>
      <c r="AV180" s="103"/>
      <c r="AW180" s="103"/>
      <c r="AX180" s="103"/>
      <c r="AY180" s="103"/>
      <c r="AZ180" s="103"/>
    </row>
    <row r="181" spans="1:52" ht="15.6" x14ac:dyDescent="0.3">
      <c r="A181" s="103"/>
      <c r="B181" s="103"/>
      <c r="C181" s="103"/>
      <c r="D181" s="103"/>
      <c r="E181" s="103"/>
      <c r="F181" s="103"/>
      <c r="G181" s="103"/>
      <c r="H181" s="103"/>
      <c r="I181" s="103"/>
      <c r="J181" s="103"/>
      <c r="K181" s="103"/>
      <c r="L181" s="103"/>
      <c r="M181" s="103"/>
      <c r="N181" s="103"/>
      <c r="O181" s="103"/>
      <c r="P181" s="103"/>
      <c r="Q181" s="103"/>
      <c r="R181" s="103"/>
      <c r="S181" s="103"/>
      <c r="T181" s="103"/>
      <c r="U181" s="103"/>
      <c r="V181" s="103"/>
      <c r="W181" s="103"/>
      <c r="X181" s="103"/>
      <c r="Y181" s="103"/>
      <c r="Z181" s="103"/>
      <c r="AA181" s="103"/>
      <c r="AB181" s="103"/>
      <c r="AC181" s="103"/>
      <c r="AD181" s="103"/>
      <c r="AE181" s="103"/>
      <c r="AF181" s="103"/>
      <c r="AG181" s="103"/>
      <c r="AH181" s="103"/>
      <c r="AI181" s="103"/>
      <c r="AJ181" s="103"/>
      <c r="AK181" s="103"/>
      <c r="AL181" s="103"/>
      <c r="AM181" s="103"/>
      <c r="AN181" s="103"/>
      <c r="AO181" s="103"/>
      <c r="AP181" s="103"/>
      <c r="AQ181" s="103"/>
      <c r="AR181" s="103"/>
      <c r="AS181" s="103"/>
      <c r="AT181" s="103"/>
      <c r="AU181" s="103"/>
      <c r="AV181" s="103"/>
      <c r="AW181" s="103"/>
      <c r="AX181" s="103"/>
      <c r="AY181" s="103"/>
      <c r="AZ181" s="103"/>
    </row>
    <row r="182" spans="1:52" ht="15.6" x14ac:dyDescent="0.3">
      <c r="A182" s="103"/>
      <c r="B182" s="103"/>
      <c r="C182" s="103"/>
      <c r="D182" s="103"/>
      <c r="E182" s="103"/>
      <c r="F182" s="103"/>
      <c r="G182" s="103"/>
      <c r="H182" s="103"/>
      <c r="I182" s="103"/>
      <c r="J182" s="103"/>
      <c r="K182" s="103"/>
      <c r="L182" s="103"/>
      <c r="M182" s="103"/>
      <c r="N182" s="103"/>
      <c r="O182" s="103"/>
      <c r="P182" s="103"/>
      <c r="Q182" s="103"/>
      <c r="R182" s="103"/>
      <c r="S182" s="103"/>
      <c r="T182" s="103"/>
      <c r="U182" s="103"/>
      <c r="V182" s="103"/>
      <c r="W182" s="103"/>
      <c r="X182" s="103"/>
      <c r="Y182" s="103"/>
      <c r="Z182" s="103"/>
      <c r="AA182" s="103"/>
      <c r="AB182" s="103"/>
      <c r="AC182" s="103"/>
      <c r="AD182" s="103"/>
      <c r="AE182" s="103"/>
      <c r="AF182" s="103"/>
      <c r="AG182" s="103"/>
      <c r="AH182" s="103"/>
      <c r="AI182" s="103"/>
      <c r="AJ182" s="103"/>
      <c r="AK182" s="103"/>
      <c r="AL182" s="103"/>
      <c r="AM182" s="103"/>
      <c r="AN182" s="103"/>
      <c r="AO182" s="103"/>
      <c r="AP182" s="103"/>
      <c r="AQ182" s="103"/>
      <c r="AR182" s="103"/>
      <c r="AS182" s="103"/>
      <c r="AT182" s="103"/>
      <c r="AU182" s="103"/>
      <c r="AV182" s="103"/>
      <c r="AW182" s="103"/>
      <c r="AX182" s="103"/>
      <c r="AY182" s="103"/>
      <c r="AZ182" s="103"/>
    </row>
    <row r="183" spans="1:52" ht="15.6" x14ac:dyDescent="0.3">
      <c r="A183" s="103"/>
      <c r="B183" s="103"/>
      <c r="C183" s="103"/>
      <c r="D183" s="103"/>
      <c r="E183" s="103"/>
      <c r="F183" s="103"/>
      <c r="G183" s="103"/>
      <c r="H183" s="103"/>
      <c r="I183" s="103"/>
      <c r="J183" s="103"/>
      <c r="K183" s="103"/>
      <c r="L183" s="103"/>
      <c r="M183" s="103"/>
      <c r="N183" s="103"/>
      <c r="O183" s="103"/>
      <c r="P183" s="103"/>
      <c r="Q183" s="103"/>
      <c r="R183" s="103"/>
      <c r="S183" s="103"/>
      <c r="T183" s="103"/>
      <c r="U183" s="103"/>
      <c r="V183" s="103"/>
      <c r="W183" s="103"/>
      <c r="X183" s="103"/>
      <c r="Y183" s="103"/>
      <c r="Z183" s="103"/>
      <c r="AA183" s="103"/>
      <c r="AB183" s="103"/>
      <c r="AC183" s="103"/>
      <c r="AD183" s="103"/>
      <c r="AE183" s="103"/>
      <c r="AF183" s="103"/>
      <c r="AG183" s="103"/>
      <c r="AH183" s="103"/>
      <c r="AI183" s="103"/>
      <c r="AJ183" s="103"/>
      <c r="AK183" s="103"/>
      <c r="AL183" s="103"/>
      <c r="AM183" s="103"/>
      <c r="AN183" s="103"/>
      <c r="AO183" s="103"/>
      <c r="AP183" s="103"/>
      <c r="AQ183" s="103"/>
      <c r="AR183" s="103"/>
      <c r="AS183" s="103"/>
      <c r="AT183" s="103"/>
      <c r="AU183" s="103"/>
      <c r="AV183" s="103"/>
      <c r="AW183" s="103"/>
      <c r="AX183" s="103"/>
      <c r="AY183" s="103"/>
      <c r="AZ183" s="103"/>
    </row>
    <row r="184" spans="1:52" ht="15.6" x14ac:dyDescent="0.3">
      <c r="A184" s="103"/>
      <c r="B184" s="103"/>
      <c r="C184" s="103"/>
      <c r="D184" s="103"/>
      <c r="E184" s="103"/>
      <c r="F184" s="103"/>
      <c r="G184" s="103"/>
      <c r="H184" s="103"/>
      <c r="I184" s="103"/>
      <c r="J184" s="103"/>
      <c r="K184" s="103"/>
      <c r="L184" s="103"/>
      <c r="M184" s="103"/>
      <c r="N184" s="103"/>
      <c r="O184" s="103"/>
      <c r="P184" s="103"/>
      <c r="Q184" s="103"/>
      <c r="R184" s="103"/>
      <c r="S184" s="103"/>
      <c r="T184" s="103"/>
      <c r="U184" s="103"/>
      <c r="V184" s="103"/>
      <c r="W184" s="103"/>
      <c r="X184" s="103"/>
      <c r="Y184" s="103"/>
      <c r="Z184" s="103"/>
      <c r="AA184" s="103"/>
      <c r="AB184" s="103"/>
      <c r="AC184" s="103"/>
      <c r="AD184" s="103"/>
      <c r="AE184" s="103"/>
      <c r="AF184" s="103"/>
      <c r="AG184" s="103"/>
      <c r="AH184" s="103"/>
      <c r="AI184" s="103"/>
      <c r="AJ184" s="103"/>
      <c r="AK184" s="103"/>
      <c r="AL184" s="103"/>
      <c r="AM184" s="103"/>
      <c r="AN184" s="103"/>
      <c r="AO184" s="103"/>
      <c r="AP184" s="103"/>
      <c r="AQ184" s="103"/>
      <c r="AR184" s="103"/>
      <c r="AS184" s="103"/>
      <c r="AT184" s="103"/>
      <c r="AU184" s="103"/>
      <c r="AV184" s="103"/>
      <c r="AW184" s="103"/>
      <c r="AX184" s="103"/>
      <c r="AY184" s="103"/>
      <c r="AZ184" s="103"/>
    </row>
    <row r="185" spans="1:52" ht="15.6" x14ac:dyDescent="0.3">
      <c r="A185" s="103"/>
      <c r="B185" s="103"/>
      <c r="C185" s="103"/>
      <c r="D185" s="103"/>
      <c r="E185" s="103"/>
      <c r="F185" s="103"/>
      <c r="G185" s="103"/>
      <c r="H185" s="103"/>
      <c r="I185" s="103"/>
      <c r="J185" s="103"/>
      <c r="K185" s="103"/>
      <c r="L185" s="103"/>
      <c r="M185" s="103"/>
      <c r="N185" s="103"/>
      <c r="O185" s="103"/>
      <c r="P185" s="103"/>
      <c r="Q185" s="103"/>
      <c r="R185" s="103"/>
      <c r="S185" s="103"/>
      <c r="T185" s="103"/>
      <c r="U185" s="103"/>
      <c r="V185" s="103"/>
      <c r="W185" s="103"/>
      <c r="X185" s="103"/>
      <c r="Y185" s="103"/>
      <c r="Z185" s="103"/>
      <c r="AA185" s="103"/>
      <c r="AB185" s="103"/>
      <c r="AC185" s="103"/>
      <c r="AD185" s="103"/>
      <c r="AE185" s="103"/>
      <c r="AF185" s="103"/>
      <c r="AG185" s="103"/>
      <c r="AH185" s="103"/>
      <c r="AI185" s="103"/>
      <c r="AJ185" s="103"/>
      <c r="AK185" s="103"/>
      <c r="AL185" s="103"/>
      <c r="AM185" s="103"/>
      <c r="AN185" s="103"/>
      <c r="AO185" s="103"/>
      <c r="AP185" s="103"/>
      <c r="AQ185" s="103"/>
      <c r="AR185" s="103"/>
      <c r="AS185" s="103"/>
      <c r="AT185" s="103"/>
      <c r="AU185" s="103"/>
      <c r="AV185" s="103"/>
      <c r="AW185" s="103"/>
      <c r="AX185" s="103"/>
      <c r="AY185" s="103"/>
      <c r="AZ185" s="103"/>
    </row>
    <row r="186" spans="1:52" ht="15.6" x14ac:dyDescent="0.3">
      <c r="A186" s="103"/>
      <c r="B186" s="103"/>
      <c r="C186" s="103"/>
      <c r="D186" s="103"/>
      <c r="E186" s="103"/>
      <c r="F186" s="103"/>
      <c r="G186" s="103"/>
      <c r="H186" s="103"/>
      <c r="I186" s="103"/>
      <c r="J186" s="103"/>
      <c r="K186" s="103"/>
      <c r="L186" s="103"/>
      <c r="M186" s="103"/>
      <c r="N186" s="103"/>
      <c r="O186" s="103"/>
      <c r="P186" s="103"/>
      <c r="Q186" s="103"/>
      <c r="R186" s="103"/>
      <c r="S186" s="103"/>
      <c r="T186" s="103"/>
      <c r="U186" s="103"/>
      <c r="V186" s="103"/>
      <c r="W186" s="103"/>
      <c r="X186" s="103"/>
      <c r="Y186" s="103"/>
      <c r="Z186" s="103"/>
      <c r="AA186" s="103"/>
      <c r="AB186" s="103"/>
      <c r="AC186" s="103"/>
      <c r="AD186" s="103"/>
      <c r="AE186" s="103"/>
      <c r="AF186" s="103"/>
      <c r="AG186" s="103"/>
      <c r="AH186" s="103"/>
      <c r="AI186" s="103"/>
      <c r="AJ186" s="103"/>
      <c r="AK186" s="103"/>
      <c r="AL186" s="103"/>
      <c r="AM186" s="103"/>
      <c r="AN186" s="103"/>
      <c r="AO186" s="103"/>
      <c r="AP186" s="103"/>
      <c r="AQ186" s="103"/>
      <c r="AR186" s="103"/>
      <c r="AS186" s="103"/>
      <c r="AT186" s="103"/>
      <c r="AU186" s="103"/>
      <c r="AV186" s="103"/>
      <c r="AW186" s="103"/>
      <c r="AX186" s="103"/>
      <c r="AY186" s="103"/>
      <c r="AZ186" s="103"/>
    </row>
    <row r="187" spans="1:52" ht="15.6" x14ac:dyDescent="0.3">
      <c r="A187" s="103"/>
      <c r="B187" s="103"/>
      <c r="C187" s="103"/>
      <c r="D187" s="103"/>
      <c r="E187" s="103"/>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3"/>
      <c r="AY187" s="103"/>
      <c r="AZ187" s="103"/>
    </row>
    <row r="188" spans="1:52" ht="15.6" x14ac:dyDescent="0.3">
      <c r="A188" s="103"/>
      <c r="B188" s="103"/>
      <c r="C188" s="103"/>
      <c r="D188" s="103"/>
      <c r="E188" s="103"/>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03"/>
      <c r="AY188" s="103"/>
      <c r="AZ188" s="103"/>
    </row>
    <row r="189" spans="1:52" ht="15.6" x14ac:dyDescent="0.3">
      <c r="A189" s="103"/>
      <c r="B189" s="103"/>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3"/>
      <c r="AY189" s="103"/>
      <c r="AZ189" s="103"/>
    </row>
    <row r="190" spans="1:52" ht="15.6" x14ac:dyDescent="0.3">
      <c r="A190" s="103"/>
      <c r="B190" s="103"/>
      <c r="C190" s="103"/>
      <c r="D190" s="103"/>
      <c r="E190" s="103"/>
      <c r="F190" s="103"/>
      <c r="G190" s="103"/>
      <c r="H190" s="103"/>
      <c r="I190" s="103"/>
      <c r="J190" s="103"/>
      <c r="K190" s="103"/>
      <c r="L190" s="103"/>
      <c r="M190" s="103"/>
      <c r="N190" s="103"/>
      <c r="O190" s="103"/>
      <c r="P190" s="103"/>
      <c r="Q190" s="103"/>
      <c r="R190" s="103"/>
      <c r="S190" s="103"/>
      <c r="T190" s="103"/>
      <c r="U190" s="103"/>
      <c r="V190" s="103"/>
      <c r="W190" s="103"/>
      <c r="X190" s="103"/>
      <c r="Y190" s="103"/>
      <c r="Z190" s="103"/>
      <c r="AA190" s="103"/>
      <c r="AB190" s="103"/>
      <c r="AC190" s="103"/>
      <c r="AD190" s="103"/>
      <c r="AE190" s="103"/>
      <c r="AF190" s="103"/>
      <c r="AG190" s="103"/>
      <c r="AH190" s="103"/>
      <c r="AI190" s="103"/>
      <c r="AJ190" s="103"/>
      <c r="AK190" s="103"/>
      <c r="AL190" s="103"/>
      <c r="AM190" s="103"/>
      <c r="AN190" s="103"/>
      <c r="AO190" s="103"/>
      <c r="AP190" s="103"/>
      <c r="AQ190" s="103"/>
      <c r="AR190" s="103"/>
      <c r="AS190" s="103"/>
      <c r="AT190" s="103"/>
      <c r="AU190" s="103"/>
      <c r="AV190" s="103"/>
      <c r="AW190" s="103"/>
      <c r="AX190" s="103"/>
      <c r="AY190" s="103"/>
      <c r="AZ190" s="103"/>
    </row>
    <row r="191" spans="1:52" ht="15.6" x14ac:dyDescent="0.3">
      <c r="A191" s="103"/>
      <c r="B191" s="103"/>
      <c r="C191" s="103"/>
      <c r="D191" s="103"/>
      <c r="E191" s="103"/>
      <c r="F191" s="103"/>
      <c r="G191" s="103"/>
      <c r="H191" s="103"/>
      <c r="I191" s="103"/>
      <c r="J191" s="103"/>
      <c r="K191" s="103"/>
      <c r="L191" s="103"/>
      <c r="M191" s="103"/>
      <c r="N191" s="103"/>
      <c r="O191" s="103"/>
      <c r="P191" s="103"/>
      <c r="Q191" s="103"/>
      <c r="R191" s="103"/>
      <c r="S191" s="103"/>
      <c r="T191" s="103"/>
      <c r="U191" s="103"/>
      <c r="V191" s="103"/>
      <c r="W191" s="103"/>
      <c r="X191" s="103"/>
      <c r="Y191" s="103"/>
      <c r="Z191" s="103"/>
      <c r="AA191" s="103"/>
      <c r="AB191" s="103"/>
      <c r="AC191" s="103"/>
      <c r="AD191" s="103"/>
      <c r="AE191" s="103"/>
      <c r="AF191" s="103"/>
      <c r="AG191" s="103"/>
      <c r="AH191" s="103"/>
      <c r="AI191" s="103"/>
      <c r="AJ191" s="103"/>
      <c r="AK191" s="103"/>
      <c r="AL191" s="103"/>
      <c r="AM191" s="103"/>
      <c r="AN191" s="103"/>
      <c r="AO191" s="103"/>
      <c r="AP191" s="103"/>
      <c r="AQ191" s="103"/>
      <c r="AR191" s="103"/>
      <c r="AS191" s="103"/>
      <c r="AT191" s="103"/>
      <c r="AU191" s="103"/>
      <c r="AV191" s="103"/>
      <c r="AW191" s="103"/>
      <c r="AX191" s="103"/>
      <c r="AY191" s="103"/>
      <c r="AZ191" s="103"/>
    </row>
    <row r="192" spans="1:52" ht="15.6" x14ac:dyDescent="0.3">
      <c r="A192" s="103"/>
      <c r="B192" s="103"/>
      <c r="C192" s="103"/>
      <c r="D192" s="103"/>
      <c r="E192" s="103"/>
      <c r="F192" s="103"/>
      <c r="G192" s="103"/>
      <c r="H192" s="103"/>
      <c r="I192" s="103"/>
      <c r="J192" s="103"/>
      <c r="K192" s="103"/>
      <c r="L192" s="103"/>
      <c r="M192" s="103"/>
      <c r="N192" s="103"/>
      <c r="O192" s="103"/>
      <c r="P192" s="103"/>
      <c r="Q192" s="103"/>
      <c r="R192" s="103"/>
      <c r="S192" s="103"/>
      <c r="T192" s="103"/>
      <c r="U192" s="103"/>
      <c r="V192" s="103"/>
      <c r="W192" s="103"/>
      <c r="X192" s="103"/>
      <c r="Y192" s="103"/>
      <c r="Z192" s="103"/>
      <c r="AA192" s="103"/>
      <c r="AB192" s="103"/>
      <c r="AC192" s="103"/>
      <c r="AD192" s="103"/>
      <c r="AE192" s="103"/>
      <c r="AF192" s="103"/>
      <c r="AG192" s="103"/>
      <c r="AH192" s="103"/>
      <c r="AI192" s="103"/>
      <c r="AJ192" s="103"/>
      <c r="AK192" s="103"/>
      <c r="AL192" s="103"/>
      <c r="AM192" s="103"/>
      <c r="AN192" s="103"/>
      <c r="AO192" s="103"/>
      <c r="AP192" s="103"/>
      <c r="AQ192" s="103"/>
      <c r="AR192" s="103"/>
      <c r="AS192" s="103"/>
      <c r="AT192" s="103"/>
      <c r="AU192" s="103"/>
      <c r="AV192" s="103"/>
      <c r="AW192" s="103"/>
      <c r="AX192" s="103"/>
      <c r="AY192" s="103"/>
      <c r="AZ192" s="103"/>
    </row>
    <row r="193" spans="1:52" ht="15.6" x14ac:dyDescent="0.3">
      <c r="A193" s="103"/>
      <c r="B193" s="103"/>
      <c r="C193" s="103"/>
      <c r="D193" s="103"/>
      <c r="E193" s="103"/>
      <c r="F193" s="103"/>
      <c r="G193" s="103"/>
      <c r="H193" s="103"/>
      <c r="I193" s="103"/>
      <c r="J193" s="103"/>
      <c r="K193" s="103"/>
      <c r="L193" s="103"/>
      <c r="M193" s="103"/>
      <c r="N193" s="103"/>
      <c r="O193" s="103"/>
      <c r="P193" s="103"/>
      <c r="Q193" s="103"/>
      <c r="R193" s="103"/>
      <c r="S193" s="103"/>
      <c r="T193" s="103"/>
      <c r="U193" s="103"/>
      <c r="V193" s="103"/>
      <c r="W193" s="103"/>
      <c r="X193" s="103"/>
      <c r="Y193" s="103"/>
      <c r="Z193" s="103"/>
      <c r="AA193" s="103"/>
      <c r="AB193" s="103"/>
      <c r="AC193" s="103"/>
      <c r="AD193" s="103"/>
      <c r="AE193" s="103"/>
      <c r="AF193" s="103"/>
      <c r="AG193" s="103"/>
      <c r="AH193" s="103"/>
      <c r="AI193" s="103"/>
      <c r="AJ193" s="103"/>
      <c r="AK193" s="103"/>
      <c r="AL193" s="103"/>
      <c r="AM193" s="103"/>
      <c r="AN193" s="103"/>
      <c r="AO193" s="103"/>
      <c r="AP193" s="103"/>
      <c r="AQ193" s="103"/>
      <c r="AR193" s="103"/>
      <c r="AS193" s="103"/>
      <c r="AT193" s="103"/>
      <c r="AU193" s="103"/>
      <c r="AV193" s="103"/>
      <c r="AW193" s="103"/>
      <c r="AX193" s="103"/>
      <c r="AY193" s="103"/>
      <c r="AZ193" s="103"/>
    </row>
    <row r="194" spans="1:52" ht="15.6" x14ac:dyDescent="0.3">
      <c r="A194" s="103"/>
      <c r="B194" s="103"/>
      <c r="C194" s="103"/>
      <c r="D194" s="103"/>
      <c r="E194" s="103"/>
      <c r="F194" s="103"/>
      <c r="G194" s="103"/>
      <c r="H194" s="103"/>
      <c r="I194" s="103"/>
      <c r="J194" s="103"/>
      <c r="K194" s="103"/>
      <c r="L194" s="103"/>
      <c r="M194" s="103"/>
      <c r="N194" s="103"/>
      <c r="O194" s="103"/>
      <c r="P194" s="103"/>
      <c r="Q194" s="103"/>
      <c r="R194" s="103"/>
      <c r="S194" s="103"/>
      <c r="T194" s="103"/>
      <c r="U194" s="103"/>
      <c r="V194" s="103"/>
      <c r="W194" s="103"/>
      <c r="X194" s="103"/>
      <c r="Y194" s="103"/>
      <c r="Z194" s="103"/>
      <c r="AA194" s="103"/>
      <c r="AB194" s="103"/>
      <c r="AC194" s="103"/>
      <c r="AD194" s="103"/>
      <c r="AE194" s="103"/>
      <c r="AF194" s="103"/>
      <c r="AG194" s="103"/>
      <c r="AH194" s="103"/>
      <c r="AI194" s="103"/>
      <c r="AJ194" s="103"/>
      <c r="AK194" s="103"/>
      <c r="AL194" s="103"/>
      <c r="AM194" s="103"/>
      <c r="AN194" s="103"/>
      <c r="AO194" s="103"/>
      <c r="AP194" s="103"/>
      <c r="AQ194" s="103"/>
      <c r="AR194" s="103"/>
      <c r="AS194" s="103"/>
      <c r="AT194" s="103"/>
      <c r="AU194" s="103"/>
      <c r="AV194" s="103"/>
      <c r="AW194" s="103"/>
      <c r="AX194" s="103"/>
      <c r="AY194" s="103"/>
      <c r="AZ194" s="103"/>
    </row>
    <row r="195" spans="1:52" ht="15.6" x14ac:dyDescent="0.3">
      <c r="A195" s="103"/>
      <c r="B195" s="103"/>
      <c r="C195" s="103"/>
      <c r="D195" s="103"/>
      <c r="E195" s="103"/>
      <c r="F195" s="103"/>
      <c r="G195" s="103"/>
      <c r="H195" s="103"/>
      <c r="I195" s="103"/>
      <c r="J195" s="103"/>
      <c r="K195" s="103"/>
      <c r="L195" s="103"/>
      <c r="M195" s="103"/>
      <c r="N195" s="103"/>
      <c r="O195" s="103"/>
      <c r="P195" s="103"/>
      <c r="Q195" s="103"/>
      <c r="R195" s="103"/>
      <c r="S195" s="103"/>
      <c r="T195" s="103"/>
      <c r="U195" s="103"/>
      <c r="V195" s="103"/>
      <c r="W195" s="103"/>
      <c r="X195" s="103"/>
      <c r="Y195" s="103"/>
      <c r="Z195" s="103"/>
      <c r="AA195" s="103"/>
      <c r="AB195" s="103"/>
      <c r="AC195" s="103"/>
      <c r="AD195" s="103"/>
      <c r="AE195" s="103"/>
      <c r="AF195" s="103"/>
      <c r="AG195" s="103"/>
      <c r="AH195" s="103"/>
      <c r="AI195" s="103"/>
      <c r="AJ195" s="103"/>
      <c r="AK195" s="103"/>
      <c r="AL195" s="103"/>
      <c r="AM195" s="103"/>
      <c r="AN195" s="103"/>
      <c r="AO195" s="103"/>
      <c r="AP195" s="103"/>
      <c r="AQ195" s="103"/>
      <c r="AR195" s="103"/>
      <c r="AS195" s="103"/>
      <c r="AT195" s="103"/>
      <c r="AU195" s="103"/>
      <c r="AV195" s="103"/>
      <c r="AW195" s="103"/>
      <c r="AX195" s="103"/>
      <c r="AY195" s="103"/>
      <c r="AZ195" s="103"/>
    </row>
    <row r="196" spans="1:52" ht="15.6" x14ac:dyDescent="0.3">
      <c r="A196" s="103"/>
      <c r="B196" s="103"/>
      <c r="C196" s="103"/>
      <c r="D196" s="103"/>
      <c r="E196" s="103"/>
      <c r="F196" s="103"/>
      <c r="G196" s="103"/>
      <c r="H196" s="103"/>
      <c r="I196" s="103"/>
      <c r="J196" s="103"/>
      <c r="K196" s="103"/>
      <c r="L196" s="103"/>
      <c r="M196" s="103"/>
      <c r="N196" s="103"/>
      <c r="O196" s="103"/>
      <c r="P196" s="103"/>
      <c r="Q196" s="103"/>
      <c r="R196" s="103"/>
      <c r="S196" s="103"/>
      <c r="T196" s="103"/>
      <c r="U196" s="103"/>
      <c r="V196" s="103"/>
      <c r="W196" s="103"/>
      <c r="X196" s="103"/>
      <c r="Y196" s="103"/>
      <c r="Z196" s="103"/>
      <c r="AA196" s="103"/>
      <c r="AB196" s="103"/>
      <c r="AC196" s="103"/>
      <c r="AD196" s="103"/>
      <c r="AE196" s="103"/>
      <c r="AF196" s="103"/>
      <c r="AG196" s="103"/>
      <c r="AH196" s="103"/>
      <c r="AI196" s="103"/>
      <c r="AJ196" s="103"/>
      <c r="AK196" s="103"/>
      <c r="AL196" s="103"/>
      <c r="AM196" s="103"/>
      <c r="AN196" s="103"/>
      <c r="AO196" s="103"/>
      <c r="AP196" s="103"/>
      <c r="AQ196" s="103"/>
      <c r="AR196" s="103"/>
      <c r="AS196" s="103"/>
      <c r="AT196" s="103"/>
      <c r="AU196" s="103"/>
      <c r="AV196" s="103"/>
      <c r="AW196" s="103"/>
      <c r="AX196" s="103"/>
      <c r="AY196" s="103"/>
      <c r="AZ196" s="103"/>
    </row>
    <row r="197" spans="1:52" ht="15.6" x14ac:dyDescent="0.3">
      <c r="A197" s="103"/>
      <c r="B197" s="103"/>
      <c r="C197" s="103"/>
      <c r="D197" s="103"/>
      <c r="E197" s="103"/>
      <c r="F197" s="103"/>
      <c r="G197" s="103"/>
      <c r="H197" s="103"/>
      <c r="I197" s="103"/>
      <c r="J197" s="103"/>
      <c r="K197" s="103"/>
      <c r="L197" s="103"/>
      <c r="M197" s="103"/>
      <c r="N197" s="103"/>
      <c r="O197" s="103"/>
      <c r="P197" s="103"/>
      <c r="Q197" s="103"/>
      <c r="R197" s="103"/>
      <c r="S197" s="103"/>
      <c r="T197" s="103"/>
      <c r="U197" s="103"/>
      <c r="V197" s="103"/>
      <c r="W197" s="103"/>
      <c r="X197" s="103"/>
      <c r="Y197" s="103"/>
      <c r="Z197" s="103"/>
      <c r="AA197" s="103"/>
      <c r="AB197" s="103"/>
      <c r="AC197" s="103"/>
      <c r="AD197" s="103"/>
      <c r="AE197" s="103"/>
      <c r="AF197" s="103"/>
      <c r="AG197" s="103"/>
      <c r="AH197" s="103"/>
      <c r="AI197" s="103"/>
      <c r="AJ197" s="103"/>
      <c r="AK197" s="103"/>
      <c r="AL197" s="103"/>
      <c r="AM197" s="103"/>
      <c r="AN197" s="103"/>
      <c r="AO197" s="103"/>
      <c r="AP197" s="103"/>
      <c r="AQ197" s="103"/>
      <c r="AR197" s="103"/>
      <c r="AS197" s="103"/>
      <c r="AT197" s="103"/>
      <c r="AU197" s="103"/>
      <c r="AV197" s="103"/>
      <c r="AW197" s="103"/>
      <c r="AX197" s="103"/>
      <c r="AY197" s="103"/>
      <c r="AZ197" s="103"/>
    </row>
    <row r="198" spans="1:52" ht="15.6" x14ac:dyDescent="0.3">
      <c r="A198" s="103"/>
      <c r="B198" s="103"/>
      <c r="C198" s="103"/>
      <c r="D198" s="103"/>
      <c r="E198" s="103"/>
      <c r="F198" s="103"/>
      <c r="G198" s="103"/>
      <c r="H198" s="103"/>
      <c r="I198" s="103"/>
      <c r="J198" s="103"/>
      <c r="K198" s="103"/>
      <c r="L198" s="103"/>
      <c r="M198" s="103"/>
      <c r="N198" s="103"/>
      <c r="O198" s="103"/>
      <c r="P198" s="103"/>
      <c r="Q198" s="103"/>
      <c r="R198" s="103"/>
      <c r="S198" s="103"/>
      <c r="T198" s="103"/>
      <c r="U198" s="103"/>
      <c r="V198" s="103"/>
      <c r="W198" s="103"/>
      <c r="X198" s="103"/>
      <c r="Y198" s="103"/>
      <c r="Z198" s="103"/>
      <c r="AA198" s="103"/>
      <c r="AB198" s="103"/>
      <c r="AC198" s="103"/>
      <c r="AD198" s="103"/>
      <c r="AE198" s="103"/>
      <c r="AF198" s="103"/>
      <c r="AG198" s="103"/>
      <c r="AH198" s="103"/>
      <c r="AI198" s="103"/>
      <c r="AJ198" s="103"/>
      <c r="AK198" s="103"/>
      <c r="AL198" s="103"/>
      <c r="AM198" s="103"/>
      <c r="AN198" s="103"/>
      <c r="AO198" s="103"/>
      <c r="AP198" s="103"/>
      <c r="AQ198" s="103"/>
      <c r="AR198" s="103"/>
      <c r="AS198" s="103"/>
      <c r="AT198" s="103"/>
      <c r="AU198" s="103"/>
      <c r="AV198" s="103"/>
      <c r="AW198" s="103"/>
      <c r="AX198" s="103"/>
      <c r="AY198" s="103"/>
      <c r="AZ198" s="103"/>
    </row>
    <row r="199" spans="1:52" ht="15.6" x14ac:dyDescent="0.3">
      <c r="A199" s="103"/>
      <c r="B199" s="103"/>
      <c r="C199" s="103"/>
      <c r="D199" s="103"/>
      <c r="E199" s="103"/>
      <c r="F199" s="103"/>
      <c r="G199" s="103"/>
      <c r="H199" s="103"/>
      <c r="I199" s="103"/>
      <c r="J199" s="103"/>
      <c r="K199" s="103"/>
      <c r="L199" s="103"/>
      <c r="M199" s="103"/>
      <c r="N199" s="103"/>
      <c r="O199" s="103"/>
      <c r="P199" s="103"/>
      <c r="Q199" s="103"/>
      <c r="R199" s="103"/>
      <c r="S199" s="103"/>
      <c r="T199" s="103"/>
      <c r="U199" s="103"/>
      <c r="V199" s="103"/>
      <c r="W199" s="103"/>
      <c r="X199" s="103"/>
      <c r="Y199" s="103"/>
      <c r="Z199" s="103"/>
      <c r="AA199" s="103"/>
      <c r="AB199" s="103"/>
      <c r="AC199" s="103"/>
      <c r="AD199" s="103"/>
      <c r="AE199" s="103"/>
      <c r="AF199" s="103"/>
      <c r="AG199" s="103"/>
      <c r="AH199" s="103"/>
      <c r="AI199" s="103"/>
      <c r="AJ199" s="103"/>
      <c r="AK199" s="103"/>
      <c r="AL199" s="103"/>
      <c r="AM199" s="103"/>
      <c r="AN199" s="103"/>
      <c r="AO199" s="103"/>
      <c r="AP199" s="103"/>
      <c r="AQ199" s="103"/>
      <c r="AR199" s="103"/>
      <c r="AS199" s="103"/>
      <c r="AT199" s="103"/>
      <c r="AU199" s="103"/>
      <c r="AV199" s="103"/>
      <c r="AW199" s="103"/>
      <c r="AX199" s="103"/>
      <c r="AY199" s="103"/>
      <c r="AZ199" s="103"/>
    </row>
    <row r="200" spans="1:52" ht="15.6" x14ac:dyDescent="0.3">
      <c r="A200" s="103"/>
      <c r="B200" s="103"/>
      <c r="C200" s="103"/>
      <c r="D200" s="103"/>
      <c r="E200" s="103"/>
      <c r="F200" s="103"/>
      <c r="G200" s="103"/>
      <c r="H200" s="103"/>
      <c r="I200" s="103"/>
      <c r="J200" s="103"/>
      <c r="K200" s="103"/>
      <c r="L200" s="103"/>
      <c r="M200" s="103"/>
      <c r="N200" s="103"/>
      <c r="O200" s="103"/>
      <c r="P200" s="103"/>
      <c r="Q200" s="103"/>
      <c r="R200" s="103"/>
      <c r="S200" s="103"/>
      <c r="T200" s="103"/>
      <c r="U200" s="103"/>
      <c r="V200" s="103"/>
      <c r="W200" s="103"/>
      <c r="X200" s="103"/>
      <c r="Y200" s="103"/>
      <c r="Z200" s="103"/>
      <c r="AA200" s="103"/>
      <c r="AB200" s="103"/>
      <c r="AC200" s="103"/>
      <c r="AD200" s="103"/>
      <c r="AE200" s="103"/>
      <c r="AF200" s="103"/>
      <c r="AG200" s="103"/>
      <c r="AH200" s="103"/>
      <c r="AI200" s="103"/>
      <c r="AJ200" s="103"/>
      <c r="AK200" s="103"/>
      <c r="AL200" s="103"/>
      <c r="AM200" s="103"/>
      <c r="AN200" s="103"/>
      <c r="AO200" s="103"/>
      <c r="AP200" s="103"/>
      <c r="AQ200" s="103"/>
      <c r="AR200" s="103"/>
      <c r="AS200" s="103"/>
      <c r="AT200" s="103"/>
      <c r="AU200" s="103"/>
      <c r="AV200" s="103"/>
      <c r="AW200" s="103"/>
      <c r="AX200" s="103"/>
      <c r="AY200" s="103"/>
      <c r="AZ200" s="103"/>
    </row>
    <row r="201" spans="1:52" ht="15.6" x14ac:dyDescent="0.3">
      <c r="A201" s="103"/>
      <c r="B201" s="103"/>
      <c r="C201" s="103"/>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103"/>
      <c r="AS201" s="103"/>
      <c r="AT201" s="103"/>
      <c r="AU201" s="103"/>
      <c r="AV201" s="103"/>
      <c r="AW201" s="103"/>
      <c r="AX201" s="103"/>
      <c r="AY201" s="103"/>
      <c r="AZ201" s="103"/>
    </row>
    <row r="202" spans="1:52" ht="15.6" x14ac:dyDescent="0.3">
      <c r="A202" s="103"/>
      <c r="B202" s="103"/>
      <c r="C202" s="103"/>
      <c r="D202" s="103"/>
      <c r="E202" s="103"/>
      <c r="F202" s="103"/>
      <c r="G202" s="103"/>
      <c r="H202" s="103"/>
      <c r="I202" s="103"/>
      <c r="J202" s="103"/>
      <c r="K202" s="103"/>
      <c r="L202" s="103"/>
      <c r="M202" s="103"/>
      <c r="N202" s="103"/>
      <c r="O202" s="103"/>
      <c r="P202" s="103"/>
      <c r="Q202" s="103"/>
      <c r="R202" s="103"/>
      <c r="S202" s="103"/>
      <c r="T202" s="103"/>
      <c r="U202" s="103"/>
      <c r="V202" s="103"/>
      <c r="W202" s="103"/>
      <c r="X202" s="103"/>
      <c r="Y202" s="103"/>
      <c r="Z202" s="103"/>
      <c r="AA202" s="103"/>
      <c r="AB202" s="103"/>
      <c r="AC202" s="103"/>
      <c r="AD202" s="103"/>
      <c r="AE202" s="103"/>
      <c r="AF202" s="103"/>
      <c r="AG202" s="103"/>
      <c r="AH202" s="103"/>
      <c r="AI202" s="103"/>
      <c r="AJ202" s="103"/>
      <c r="AK202" s="103"/>
      <c r="AL202" s="103"/>
      <c r="AM202" s="103"/>
      <c r="AN202" s="103"/>
      <c r="AO202" s="103"/>
      <c r="AP202" s="103"/>
      <c r="AQ202" s="103"/>
      <c r="AR202" s="103"/>
      <c r="AS202" s="103"/>
      <c r="AT202" s="103"/>
      <c r="AU202" s="103"/>
      <c r="AV202" s="103"/>
      <c r="AW202" s="103"/>
      <c r="AX202" s="103"/>
      <c r="AY202" s="103"/>
      <c r="AZ202" s="103"/>
    </row>
    <row r="203" spans="1:52" ht="15.6" x14ac:dyDescent="0.3">
      <c r="A203" s="103"/>
      <c r="B203" s="103"/>
      <c r="C203" s="103"/>
      <c r="D203" s="103"/>
      <c r="E203" s="103"/>
      <c r="F203" s="103"/>
      <c r="G203" s="103"/>
      <c r="H203" s="103"/>
      <c r="I203" s="103"/>
      <c r="J203" s="103"/>
      <c r="K203" s="103"/>
      <c r="L203" s="103"/>
      <c r="M203" s="103"/>
      <c r="N203" s="103"/>
      <c r="O203" s="103"/>
      <c r="P203" s="103"/>
      <c r="Q203" s="103"/>
      <c r="R203" s="103"/>
      <c r="S203" s="103"/>
      <c r="T203" s="103"/>
      <c r="U203" s="103"/>
      <c r="V203" s="103"/>
      <c r="W203" s="103"/>
      <c r="X203" s="103"/>
      <c r="Y203" s="103"/>
      <c r="Z203" s="103"/>
      <c r="AA203" s="103"/>
      <c r="AB203" s="103"/>
      <c r="AC203" s="103"/>
      <c r="AD203" s="103"/>
      <c r="AE203" s="103"/>
      <c r="AF203" s="103"/>
      <c r="AG203" s="103"/>
      <c r="AH203" s="103"/>
      <c r="AI203" s="103"/>
      <c r="AJ203" s="103"/>
      <c r="AK203" s="103"/>
      <c r="AL203" s="103"/>
      <c r="AM203" s="103"/>
      <c r="AN203" s="103"/>
      <c r="AO203" s="103"/>
      <c r="AP203" s="103"/>
      <c r="AQ203" s="103"/>
      <c r="AR203" s="103"/>
      <c r="AS203" s="103"/>
      <c r="AT203" s="103"/>
      <c r="AU203" s="103"/>
      <c r="AV203" s="103"/>
      <c r="AW203" s="103"/>
      <c r="AX203" s="103"/>
      <c r="AY203" s="103"/>
      <c r="AZ203" s="103"/>
    </row>
    <row r="204" spans="1:52" ht="15.6" x14ac:dyDescent="0.3">
      <c r="A204" s="103"/>
      <c r="B204" s="103"/>
      <c r="C204" s="103"/>
      <c r="D204" s="103"/>
      <c r="E204" s="103"/>
      <c r="F204" s="103"/>
      <c r="G204" s="103"/>
      <c r="H204" s="103"/>
      <c r="I204" s="103"/>
      <c r="J204" s="103"/>
      <c r="K204" s="103"/>
      <c r="L204" s="103"/>
      <c r="M204" s="103"/>
      <c r="N204" s="103"/>
      <c r="O204" s="103"/>
      <c r="P204" s="103"/>
      <c r="Q204" s="103"/>
      <c r="R204" s="103"/>
      <c r="S204" s="103"/>
      <c r="T204" s="103"/>
      <c r="U204" s="103"/>
      <c r="V204" s="103"/>
      <c r="W204" s="103"/>
      <c r="X204" s="103"/>
      <c r="Y204" s="103"/>
      <c r="Z204" s="103"/>
      <c r="AA204" s="103"/>
      <c r="AB204" s="103"/>
      <c r="AC204" s="103"/>
      <c r="AD204" s="103"/>
      <c r="AE204" s="103"/>
      <c r="AF204" s="103"/>
      <c r="AG204" s="103"/>
      <c r="AH204" s="103"/>
      <c r="AI204" s="103"/>
      <c r="AJ204" s="103"/>
      <c r="AK204" s="103"/>
      <c r="AL204" s="103"/>
      <c r="AM204" s="103"/>
      <c r="AN204" s="103"/>
      <c r="AO204" s="103"/>
      <c r="AP204" s="103"/>
      <c r="AQ204" s="103"/>
      <c r="AR204" s="103"/>
      <c r="AS204" s="103"/>
      <c r="AT204" s="103"/>
      <c r="AU204" s="103"/>
      <c r="AV204" s="103"/>
      <c r="AW204" s="103"/>
      <c r="AX204" s="103"/>
      <c r="AY204" s="103"/>
      <c r="AZ204" s="103"/>
    </row>
    <row r="205" spans="1:52" ht="15.6" x14ac:dyDescent="0.3">
      <c r="A205" s="103"/>
      <c r="B205" s="103"/>
      <c r="C205" s="103"/>
      <c r="D205" s="103"/>
      <c r="E205" s="103"/>
      <c r="F205" s="103"/>
      <c r="G205" s="103"/>
      <c r="H205" s="103"/>
      <c r="I205" s="103"/>
      <c r="J205" s="103"/>
      <c r="K205" s="103"/>
      <c r="L205" s="103"/>
      <c r="M205" s="103"/>
      <c r="N205" s="103"/>
      <c r="O205" s="103"/>
      <c r="P205" s="103"/>
      <c r="Q205" s="103"/>
      <c r="R205" s="103"/>
      <c r="S205" s="103"/>
      <c r="T205" s="103"/>
      <c r="U205" s="103"/>
      <c r="V205" s="103"/>
      <c r="W205" s="103"/>
      <c r="X205" s="103"/>
      <c r="Y205" s="103"/>
      <c r="Z205" s="103"/>
      <c r="AA205" s="103"/>
      <c r="AB205" s="103"/>
      <c r="AC205" s="103"/>
      <c r="AD205" s="103"/>
      <c r="AE205" s="103"/>
      <c r="AF205" s="103"/>
      <c r="AG205" s="103"/>
      <c r="AH205" s="103"/>
      <c r="AI205" s="103"/>
      <c r="AJ205" s="103"/>
      <c r="AK205" s="103"/>
      <c r="AL205" s="103"/>
      <c r="AM205" s="103"/>
      <c r="AN205" s="103"/>
      <c r="AO205" s="103"/>
      <c r="AP205" s="103"/>
      <c r="AQ205" s="103"/>
      <c r="AR205" s="103"/>
      <c r="AS205" s="103"/>
      <c r="AT205" s="103"/>
      <c r="AU205" s="103"/>
      <c r="AV205" s="103"/>
      <c r="AW205" s="103"/>
      <c r="AX205" s="103"/>
      <c r="AY205" s="103"/>
      <c r="AZ205" s="103"/>
    </row>
    <row r="206" spans="1:52" ht="15.6" x14ac:dyDescent="0.3">
      <c r="A206" s="103"/>
      <c r="B206" s="103"/>
      <c r="C206" s="103"/>
      <c r="D206" s="103"/>
      <c r="E206" s="103"/>
      <c r="F206" s="103"/>
      <c r="G206" s="103"/>
      <c r="H206" s="103"/>
      <c r="I206" s="103"/>
      <c r="J206" s="103"/>
      <c r="K206" s="103"/>
      <c r="L206" s="103"/>
      <c r="M206" s="103"/>
      <c r="N206" s="103"/>
      <c r="O206" s="103"/>
      <c r="P206" s="103"/>
      <c r="Q206" s="103"/>
      <c r="R206" s="103"/>
      <c r="S206" s="103"/>
      <c r="T206" s="103"/>
      <c r="U206" s="103"/>
      <c r="V206" s="103"/>
      <c r="W206" s="103"/>
      <c r="X206" s="103"/>
      <c r="Y206" s="103"/>
      <c r="Z206" s="103"/>
      <c r="AA206" s="103"/>
      <c r="AB206" s="103"/>
      <c r="AC206" s="103"/>
      <c r="AD206" s="103"/>
      <c r="AE206" s="103"/>
      <c r="AF206" s="103"/>
      <c r="AG206" s="103"/>
      <c r="AH206" s="103"/>
      <c r="AI206" s="103"/>
      <c r="AJ206" s="103"/>
      <c r="AK206" s="103"/>
      <c r="AL206" s="103"/>
      <c r="AM206" s="103"/>
      <c r="AN206" s="103"/>
      <c r="AO206" s="103"/>
      <c r="AP206" s="103"/>
      <c r="AQ206" s="103"/>
      <c r="AR206" s="103"/>
      <c r="AS206" s="103"/>
      <c r="AT206" s="103"/>
      <c r="AU206" s="103"/>
      <c r="AV206" s="103"/>
      <c r="AW206" s="103"/>
      <c r="AX206" s="103"/>
      <c r="AY206" s="103"/>
      <c r="AZ206" s="103"/>
    </row>
    <row r="207" spans="1:52" ht="15.6" x14ac:dyDescent="0.3">
      <c r="A207" s="103"/>
      <c r="B207" s="103"/>
      <c r="C207" s="103"/>
      <c r="D207" s="103"/>
      <c r="E207" s="103"/>
      <c r="F207" s="103"/>
      <c r="G207" s="103"/>
      <c r="H207" s="103"/>
      <c r="I207" s="103"/>
      <c r="J207" s="103"/>
      <c r="K207" s="103"/>
      <c r="L207" s="103"/>
      <c r="M207" s="103"/>
      <c r="N207" s="103"/>
      <c r="O207" s="103"/>
      <c r="P207" s="103"/>
      <c r="Q207" s="103"/>
      <c r="R207" s="103"/>
      <c r="S207" s="103"/>
      <c r="T207" s="103"/>
      <c r="U207" s="103"/>
      <c r="V207" s="103"/>
      <c r="W207" s="103"/>
      <c r="X207" s="103"/>
      <c r="Y207" s="103"/>
      <c r="Z207" s="103"/>
      <c r="AA207" s="103"/>
      <c r="AB207" s="103"/>
      <c r="AC207" s="103"/>
      <c r="AD207" s="103"/>
      <c r="AE207" s="103"/>
      <c r="AF207" s="103"/>
      <c r="AG207" s="103"/>
      <c r="AH207" s="103"/>
      <c r="AI207" s="103"/>
      <c r="AJ207" s="103"/>
      <c r="AK207" s="103"/>
      <c r="AL207" s="103"/>
      <c r="AM207" s="103"/>
      <c r="AN207" s="103"/>
      <c r="AO207" s="103"/>
      <c r="AP207" s="103"/>
      <c r="AQ207" s="103"/>
      <c r="AR207" s="103"/>
      <c r="AS207" s="103"/>
      <c r="AT207" s="103"/>
      <c r="AU207" s="103"/>
      <c r="AV207" s="103"/>
      <c r="AW207" s="103"/>
      <c r="AX207" s="103"/>
      <c r="AY207" s="103"/>
      <c r="AZ207" s="103"/>
    </row>
    <row r="208" spans="1:52" ht="15.6" x14ac:dyDescent="0.3">
      <c r="A208" s="103"/>
      <c r="B208" s="103"/>
      <c r="C208" s="103"/>
      <c r="D208" s="103"/>
      <c r="E208" s="103"/>
      <c r="F208" s="103"/>
      <c r="G208" s="103"/>
      <c r="H208" s="103"/>
      <c r="I208" s="103"/>
      <c r="J208" s="103"/>
      <c r="K208" s="103"/>
      <c r="L208" s="103"/>
      <c r="M208" s="103"/>
      <c r="N208" s="103"/>
      <c r="O208" s="103"/>
      <c r="P208" s="103"/>
      <c r="Q208" s="103"/>
      <c r="R208" s="103"/>
      <c r="S208" s="103"/>
      <c r="T208" s="103"/>
      <c r="U208" s="103"/>
      <c r="V208" s="103"/>
      <c r="W208" s="103"/>
      <c r="X208" s="103"/>
      <c r="Y208" s="103"/>
      <c r="Z208" s="103"/>
      <c r="AA208" s="103"/>
      <c r="AB208" s="103"/>
      <c r="AC208" s="103"/>
      <c r="AD208" s="103"/>
      <c r="AE208" s="103"/>
      <c r="AF208" s="103"/>
      <c r="AG208" s="103"/>
      <c r="AH208" s="103"/>
      <c r="AI208" s="103"/>
      <c r="AJ208" s="103"/>
      <c r="AK208" s="103"/>
      <c r="AL208" s="103"/>
      <c r="AM208" s="103"/>
      <c r="AN208" s="103"/>
      <c r="AO208" s="103"/>
      <c r="AP208" s="103"/>
      <c r="AQ208" s="103"/>
      <c r="AR208" s="103"/>
      <c r="AS208" s="103"/>
      <c r="AT208" s="103"/>
      <c r="AU208" s="103"/>
      <c r="AV208" s="103"/>
      <c r="AW208" s="103"/>
      <c r="AX208" s="103"/>
      <c r="AY208" s="103"/>
      <c r="AZ208" s="103"/>
    </row>
    <row r="209" spans="16:25" ht="15.6" x14ac:dyDescent="0.3">
      <c r="P209" s="103"/>
      <c r="Q209" s="103"/>
      <c r="R209" s="103"/>
      <c r="S209" s="103"/>
      <c r="T209" s="103"/>
      <c r="U209" s="103"/>
      <c r="V209" s="103"/>
      <c r="W209" s="103"/>
      <c r="X209" s="103"/>
      <c r="Y209" s="103"/>
    </row>
    <row r="210" spans="16:25" ht="15.6" x14ac:dyDescent="0.3">
      <c r="P210" s="103"/>
      <c r="Q210" s="103"/>
      <c r="R210" s="103"/>
      <c r="S210" s="103"/>
      <c r="T210" s="103"/>
      <c r="U210" s="103"/>
      <c r="V210" s="103"/>
    </row>
  </sheetData>
  <dataConsolidate/>
  <mergeCells count="2">
    <mergeCell ref="B3:J3"/>
    <mergeCell ref="H39:I39"/>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5"/>
  <sheetViews>
    <sheetView zoomScale="75" zoomScaleNormal="75" workbookViewId="0">
      <selection activeCell="S27" sqref="S27"/>
    </sheetView>
  </sheetViews>
  <sheetFormatPr defaultColWidth="9.109375" defaultRowHeight="14.4" x14ac:dyDescent="0.3"/>
  <cols>
    <col min="1" max="1" width="4.33203125" style="102" customWidth="1"/>
    <col min="2" max="2" width="9.109375" style="102"/>
    <col min="3" max="3" width="12.5546875" style="102" customWidth="1"/>
    <col min="4" max="4" width="10.6640625" style="102" customWidth="1"/>
    <col min="5" max="5" width="9.109375" style="102"/>
    <col min="6" max="6" width="11.109375" style="102" customWidth="1"/>
    <col min="7" max="7" width="12.6640625" style="102" customWidth="1"/>
    <col min="8" max="8" width="10.33203125" style="102" customWidth="1"/>
    <col min="9" max="9" width="13.6640625" style="102" customWidth="1"/>
    <col min="10" max="11" width="13.109375" style="102" customWidth="1"/>
    <col min="12" max="12" width="2.6640625" style="102" customWidth="1"/>
    <col min="13" max="13" width="13.44140625" style="102" customWidth="1"/>
    <col min="14" max="14" width="14.5546875" style="102" customWidth="1"/>
    <col min="15" max="15" width="9.109375" style="102"/>
    <col min="16" max="16" width="11.109375" style="102" bestFit="1" customWidth="1"/>
    <col min="17" max="18" width="9.109375" style="102"/>
    <col min="19" max="19" width="14.44140625" style="102" customWidth="1"/>
    <col min="20" max="21" width="9.109375" style="102"/>
    <col min="22" max="22" width="8" style="102" customWidth="1"/>
    <col min="23" max="16384" width="9.109375" style="102"/>
  </cols>
  <sheetData>
    <row r="1" spans="1:30" ht="15.6" x14ac:dyDescent="0.3">
      <c r="A1" s="103"/>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row>
    <row r="2" spans="1:30" ht="17.399999999999999" x14ac:dyDescent="0.3">
      <c r="A2" s="103"/>
      <c r="B2" s="103"/>
      <c r="C2" s="138" t="s">
        <v>138</v>
      </c>
      <c r="D2" s="138"/>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row>
    <row r="3" spans="1:30" ht="11.25" customHeight="1" x14ac:dyDescent="0.3">
      <c r="A3" s="103"/>
      <c r="B3" s="594"/>
      <c r="C3" s="594"/>
      <c r="D3" s="594"/>
      <c r="E3" s="594"/>
      <c r="F3" s="594"/>
      <c r="G3" s="594"/>
      <c r="H3" s="594"/>
      <c r="I3" s="594"/>
      <c r="J3" s="594"/>
      <c r="K3" s="103"/>
      <c r="L3" s="103"/>
      <c r="M3" s="103"/>
      <c r="N3" s="103"/>
      <c r="O3" s="103"/>
      <c r="P3" s="103"/>
      <c r="Q3" s="103"/>
      <c r="R3" s="103"/>
      <c r="S3" s="103"/>
      <c r="T3" s="103"/>
      <c r="U3" s="103"/>
      <c r="V3" s="103"/>
      <c r="W3" s="103"/>
      <c r="X3" s="103"/>
      <c r="Y3" s="103"/>
      <c r="Z3" s="103"/>
      <c r="AA3" s="103"/>
      <c r="AB3" s="103"/>
      <c r="AC3" s="103"/>
      <c r="AD3" s="103"/>
    </row>
    <row r="4" spans="1:30" ht="128.4" customHeight="1" thickBot="1" x14ac:dyDescent="0.35">
      <c r="A4" s="103"/>
      <c r="B4" s="124" t="s">
        <v>107</v>
      </c>
      <c r="C4" s="125" t="s">
        <v>119</v>
      </c>
      <c r="D4" s="125" t="s">
        <v>124</v>
      </c>
      <c r="E4" s="126" t="s">
        <v>125</v>
      </c>
      <c r="F4" s="125" t="s">
        <v>126</v>
      </c>
      <c r="G4" s="125" t="s">
        <v>137</v>
      </c>
      <c r="H4" s="125" t="s">
        <v>129</v>
      </c>
      <c r="I4" s="125" t="s">
        <v>123</v>
      </c>
      <c r="J4" s="125" t="s">
        <v>130</v>
      </c>
      <c r="K4" s="125" t="s">
        <v>128</v>
      </c>
      <c r="L4" s="123"/>
      <c r="M4" s="125" t="s">
        <v>136</v>
      </c>
      <c r="N4" s="125" t="s">
        <v>135</v>
      </c>
      <c r="P4" s="85"/>
      <c r="Q4" s="84"/>
      <c r="V4" s="103"/>
      <c r="W4" s="103"/>
      <c r="X4" s="103"/>
      <c r="Y4" s="103"/>
      <c r="Z4" s="103"/>
      <c r="AA4" s="103"/>
      <c r="AB4" s="103"/>
      <c r="AC4" s="103"/>
      <c r="AD4" s="103"/>
    </row>
    <row r="5" spans="1:30" ht="15.6" x14ac:dyDescent="0.3">
      <c r="A5" s="141"/>
      <c r="B5" s="141">
        <v>0</v>
      </c>
      <c r="C5" s="103"/>
      <c r="D5" s="141"/>
      <c r="E5" s="107"/>
      <c r="F5" s="108">
        <v>0</v>
      </c>
      <c r="G5" s="108">
        <f>M5+$T$9</f>
        <v>3797</v>
      </c>
      <c r="H5" s="108">
        <f>F5-G5</f>
        <v>-3797</v>
      </c>
      <c r="I5" s="108">
        <f t="shared" ref="I5:I35" si="0">H5/(1+$T$6)^B5</f>
        <v>-3797</v>
      </c>
      <c r="J5" s="108">
        <f>I5</f>
        <v>-3797</v>
      </c>
      <c r="K5" s="103"/>
      <c r="L5" s="103"/>
      <c r="M5" s="133">
        <f>'Defender Cost to Establish'!D11</f>
        <v>3630</v>
      </c>
      <c r="N5" s="103"/>
      <c r="O5" s="103" t="s">
        <v>111</v>
      </c>
      <c r="Q5" s="103"/>
      <c r="T5" s="131">
        <v>0.26</v>
      </c>
      <c r="U5" s="88" t="s">
        <v>118</v>
      </c>
      <c r="V5" s="103"/>
      <c r="W5" s="103"/>
      <c r="X5" s="103"/>
      <c r="Y5" s="103"/>
      <c r="Z5" s="103"/>
      <c r="AA5" s="103"/>
      <c r="AB5" s="103"/>
      <c r="AC5" s="103"/>
      <c r="AD5" s="103"/>
    </row>
    <row r="6" spans="1:30" ht="15.6" x14ac:dyDescent="0.3">
      <c r="A6" s="141"/>
      <c r="B6" s="141">
        <f>B5+1</f>
        <v>1</v>
      </c>
      <c r="C6" s="127">
        <v>0</v>
      </c>
      <c r="D6" s="141">
        <f t="shared" ref="D6:D36" si="1">$T$7*C6</f>
        <v>0</v>
      </c>
      <c r="E6" s="107">
        <f t="shared" ref="E6:E35" si="2">$T$5</f>
        <v>0.26</v>
      </c>
      <c r="F6" s="108">
        <f t="shared" ref="F6:F35" si="3">D6*E6</f>
        <v>0</v>
      </c>
      <c r="G6" s="108">
        <f>M6+$T$9</f>
        <v>4974.481441176471</v>
      </c>
      <c r="H6" s="108">
        <f t="shared" ref="H6:H35" si="4">F6-G6</f>
        <v>-4974.481441176471</v>
      </c>
      <c r="I6" s="108">
        <f t="shared" si="0"/>
        <v>-4522.2558556149734</v>
      </c>
      <c r="J6" s="108">
        <f>I6+J5</f>
        <v>-8319.2558556149743</v>
      </c>
      <c r="K6" s="103"/>
      <c r="L6" s="103"/>
      <c r="M6" s="134">
        <f>'Defender Cost to Establish'!D25</f>
        <v>4807.481441176471</v>
      </c>
      <c r="N6" s="103"/>
      <c r="O6" s="103" t="s">
        <v>116</v>
      </c>
      <c r="Q6" s="88"/>
      <c r="T6" s="136">
        <v>0.1</v>
      </c>
      <c r="U6" s="88" t="s">
        <v>117</v>
      </c>
      <c r="V6" s="103"/>
      <c r="W6" s="103"/>
      <c r="X6" s="103"/>
      <c r="Y6" s="103"/>
      <c r="Z6" s="103"/>
      <c r="AA6" s="103"/>
      <c r="AB6" s="103"/>
      <c r="AC6" s="103"/>
      <c r="AD6" s="103"/>
    </row>
    <row r="7" spans="1:30" ht="15.6" x14ac:dyDescent="0.3">
      <c r="A7" s="141"/>
      <c r="B7" s="141">
        <f t="shared" ref="B7:B35" si="5">B6+1</f>
        <v>2</v>
      </c>
      <c r="C7" s="127">
        <v>0</v>
      </c>
      <c r="D7" s="141">
        <f t="shared" si="1"/>
        <v>0</v>
      </c>
      <c r="E7" s="107">
        <f t="shared" si="2"/>
        <v>0.26</v>
      </c>
      <c r="F7" s="108">
        <f t="shared" si="3"/>
        <v>0</v>
      </c>
      <c r="G7" s="108">
        <f>M7+$T$9</f>
        <v>1183.2814411764707</v>
      </c>
      <c r="H7" s="108">
        <f t="shared" si="4"/>
        <v>-1183.2814411764707</v>
      </c>
      <c r="I7" s="108">
        <f t="shared" si="0"/>
        <v>-977.91854642683518</v>
      </c>
      <c r="J7" s="108">
        <f t="shared" ref="J7:J35" si="6">I7+J6</f>
        <v>-9297.17440204181</v>
      </c>
      <c r="K7" s="103"/>
      <c r="L7" s="103"/>
      <c r="M7" s="134">
        <f>'Defender Cost to Establish'!D37</f>
        <v>1016.2814411764706</v>
      </c>
      <c r="N7" s="103"/>
      <c r="O7" s="103" t="s">
        <v>114</v>
      </c>
      <c r="Q7" s="88"/>
      <c r="T7" s="132">
        <v>15000</v>
      </c>
      <c r="U7" s="103" t="s">
        <v>115</v>
      </c>
      <c r="V7" s="139">
        <f>T7/'Chestnuts Orchard Model'!U5</f>
        <v>4.2857142857142856</v>
      </c>
      <c r="W7" s="88" t="s">
        <v>139</v>
      </c>
      <c r="X7" s="103"/>
      <c r="Y7" s="103"/>
      <c r="Z7" s="103"/>
      <c r="AA7" s="103"/>
      <c r="AB7" s="103"/>
      <c r="AC7" s="103"/>
      <c r="AD7" s="103"/>
    </row>
    <row r="8" spans="1:30" ht="15.6" x14ac:dyDescent="0.3">
      <c r="A8" s="141"/>
      <c r="B8" s="141">
        <f t="shared" si="5"/>
        <v>3</v>
      </c>
      <c r="C8" s="127">
        <v>0</v>
      </c>
      <c r="D8" s="141">
        <f t="shared" si="1"/>
        <v>0</v>
      </c>
      <c r="E8" s="107">
        <f t="shared" si="2"/>
        <v>0.26</v>
      </c>
      <c r="F8" s="108">
        <f t="shared" si="3"/>
        <v>0</v>
      </c>
      <c r="G8" s="108">
        <f>M8+$T$9</f>
        <v>1369.1189411764706</v>
      </c>
      <c r="H8" s="108">
        <f t="shared" si="4"/>
        <v>-1369.1189411764706</v>
      </c>
      <c r="I8" s="108">
        <f t="shared" si="0"/>
        <v>-1028.6393247005785</v>
      </c>
      <c r="J8" s="108">
        <f t="shared" si="6"/>
        <v>-10325.813726742388</v>
      </c>
      <c r="K8" s="103"/>
      <c r="L8" s="103"/>
      <c r="M8" s="134">
        <f>'Defender Cost to Establish'!G15</f>
        <v>1202.1189411764706</v>
      </c>
      <c r="N8" s="103"/>
      <c r="O8" s="103" t="s">
        <v>131</v>
      </c>
      <c r="P8" s="3"/>
      <c r="Q8" s="103"/>
      <c r="T8" s="135">
        <f>'Defender Cost Per Acre'!K69</f>
        <v>2222.7429980832462</v>
      </c>
      <c r="U8" s="88" t="s">
        <v>133</v>
      </c>
      <c r="V8" s="103"/>
      <c r="W8" s="103"/>
      <c r="X8" s="103"/>
      <c r="Y8" s="103"/>
      <c r="Z8" s="103"/>
      <c r="AA8" s="103"/>
      <c r="AB8" s="103"/>
      <c r="AC8" s="103"/>
      <c r="AD8" s="103"/>
    </row>
    <row r="9" spans="1:30" ht="15.6" x14ac:dyDescent="0.3">
      <c r="A9" s="141"/>
      <c r="B9" s="141">
        <f t="shared" si="5"/>
        <v>4</v>
      </c>
      <c r="C9" s="128">
        <v>0.16700000000000001</v>
      </c>
      <c r="D9" s="141">
        <f t="shared" si="1"/>
        <v>2505</v>
      </c>
      <c r="E9" s="107">
        <f t="shared" si="2"/>
        <v>0.26</v>
      </c>
      <c r="F9" s="108">
        <f t="shared" si="3"/>
        <v>651.30000000000007</v>
      </c>
      <c r="G9" s="108">
        <f>$T$8*N9+$T$9</f>
        <v>1985.2037724320953</v>
      </c>
      <c r="H9" s="108">
        <f t="shared" si="4"/>
        <v>-1333.9037724320951</v>
      </c>
      <c r="I9" s="108">
        <f t="shared" si="0"/>
        <v>-911.07422473334793</v>
      </c>
      <c r="J9" s="108">
        <f t="shared" si="6"/>
        <v>-11236.887951475735</v>
      </c>
      <c r="K9" s="103"/>
      <c r="L9" s="103"/>
      <c r="M9" s="103"/>
      <c r="N9" s="128">
        <v>0.81799999999999995</v>
      </c>
      <c r="O9" s="103" t="s">
        <v>132</v>
      </c>
      <c r="P9" s="90"/>
      <c r="Q9" s="91"/>
      <c r="R9" s="141"/>
      <c r="S9" s="141"/>
      <c r="T9" s="94">
        <v>167</v>
      </c>
      <c r="U9" s="88" t="s">
        <v>133</v>
      </c>
      <c r="V9" s="141"/>
      <c r="W9" s="141"/>
      <c r="X9" s="141"/>
      <c r="Y9" s="103"/>
      <c r="Z9" s="103"/>
      <c r="AA9" s="103"/>
      <c r="AB9" s="103"/>
      <c r="AC9" s="103"/>
      <c r="AD9" s="103"/>
    </row>
    <row r="10" spans="1:30" ht="15.6" x14ac:dyDescent="0.3">
      <c r="A10" s="141"/>
      <c r="B10" s="141">
        <f t="shared" si="5"/>
        <v>5</v>
      </c>
      <c r="C10" s="128">
        <v>0.33300000000000002</v>
      </c>
      <c r="D10" s="141">
        <f t="shared" si="1"/>
        <v>4995</v>
      </c>
      <c r="E10" s="107">
        <f t="shared" si="2"/>
        <v>0.26</v>
      </c>
      <c r="F10" s="108">
        <f t="shared" si="3"/>
        <v>1298.7</v>
      </c>
      <c r="G10" s="108">
        <f t="shared" ref="G10:G35" si="7">$T$8*N10+$T$9</f>
        <v>2067.4452633611754</v>
      </c>
      <c r="H10" s="108">
        <f t="shared" si="4"/>
        <v>-768.74526336117538</v>
      </c>
      <c r="I10" s="108">
        <f t="shared" si="0"/>
        <v>-477.33032602167953</v>
      </c>
      <c r="J10" s="108">
        <f t="shared" si="6"/>
        <v>-11714.218277497415</v>
      </c>
      <c r="K10" s="103"/>
      <c r="L10" s="103"/>
      <c r="M10" s="103"/>
      <c r="N10" s="128">
        <v>0.85499999999999998</v>
      </c>
      <c r="O10" s="103"/>
      <c r="P10" s="92"/>
      <c r="Q10" s="93"/>
      <c r="R10" s="92"/>
      <c r="S10" s="92"/>
      <c r="T10" s="92"/>
      <c r="U10" s="92"/>
      <c r="V10" s="92"/>
      <c r="W10" s="92"/>
      <c r="X10" s="92"/>
      <c r="Y10" s="103"/>
      <c r="Z10" s="103"/>
      <c r="AA10" s="103"/>
      <c r="AB10" s="103"/>
      <c r="AC10" s="103"/>
      <c r="AD10" s="103"/>
    </row>
    <row r="11" spans="1:30" ht="15.6" x14ac:dyDescent="0.3">
      <c r="A11" s="141"/>
      <c r="B11" s="141">
        <f t="shared" si="5"/>
        <v>6</v>
      </c>
      <c r="C11" s="128">
        <v>0.5</v>
      </c>
      <c r="D11" s="141">
        <f t="shared" si="1"/>
        <v>7500</v>
      </c>
      <c r="E11" s="107">
        <f t="shared" si="2"/>
        <v>0.26</v>
      </c>
      <c r="F11" s="108">
        <f t="shared" si="3"/>
        <v>1950</v>
      </c>
      <c r="G11" s="108">
        <f t="shared" si="7"/>
        <v>2147.4640112921725</v>
      </c>
      <c r="H11" s="108">
        <f t="shared" si="4"/>
        <v>-197.46401129217247</v>
      </c>
      <c r="I11" s="108">
        <f t="shared" si="0"/>
        <v>-111.46328649827603</v>
      </c>
      <c r="J11" s="108">
        <f t="shared" si="6"/>
        <v>-11825.681563995691</v>
      </c>
      <c r="K11" s="103"/>
      <c r="L11" s="103"/>
      <c r="M11" s="103"/>
      <c r="N11" s="128">
        <v>0.89100000000000001</v>
      </c>
      <c r="O11" s="103"/>
      <c r="P11" s="101"/>
      <c r="Q11" s="101"/>
      <c r="R11" s="101"/>
      <c r="S11" s="101"/>
      <c r="T11" s="101"/>
      <c r="U11" s="101"/>
      <c r="V11" s="101"/>
      <c r="W11" s="101"/>
      <c r="X11" s="103"/>
      <c r="Y11" s="103"/>
      <c r="Z11" s="103"/>
      <c r="AA11" s="103"/>
      <c r="AB11" s="103"/>
      <c r="AC11" s="103"/>
      <c r="AD11" s="103"/>
    </row>
    <row r="12" spans="1:30" ht="15.6" x14ac:dyDescent="0.3">
      <c r="A12" s="141"/>
      <c r="B12" s="141">
        <f t="shared" si="5"/>
        <v>7</v>
      </c>
      <c r="C12" s="128">
        <v>0.66700000000000004</v>
      </c>
      <c r="D12" s="141">
        <f t="shared" si="1"/>
        <v>10005</v>
      </c>
      <c r="E12" s="107">
        <f t="shared" si="2"/>
        <v>0.26</v>
      </c>
      <c r="F12" s="108">
        <f t="shared" si="3"/>
        <v>2601.3000000000002</v>
      </c>
      <c r="G12" s="108">
        <f t="shared" si="7"/>
        <v>2229.7055022212526</v>
      </c>
      <c r="H12" s="108">
        <f t="shared" si="4"/>
        <v>371.59449777874761</v>
      </c>
      <c r="I12" s="108">
        <f t="shared" si="0"/>
        <v>190.68673322502656</v>
      </c>
      <c r="J12" s="108">
        <f t="shared" si="6"/>
        <v>-11634.994830770665</v>
      </c>
      <c r="K12" s="103"/>
      <c r="L12" s="103"/>
      <c r="M12" s="103"/>
      <c r="N12" s="128">
        <v>0.92800000000000005</v>
      </c>
      <c r="O12" s="103"/>
      <c r="P12" s="90"/>
      <c r="Q12" s="91"/>
      <c r="R12" s="141"/>
      <c r="S12" s="141"/>
      <c r="T12" s="141"/>
      <c r="U12" s="141"/>
      <c r="V12" s="141"/>
      <c r="W12" s="141"/>
      <c r="X12" s="141"/>
      <c r="Y12" s="103"/>
      <c r="Z12" s="103"/>
      <c r="AA12" s="103"/>
      <c r="AB12" s="103"/>
      <c r="AC12" s="103"/>
      <c r="AD12" s="103"/>
    </row>
    <row r="13" spans="1:30" ht="15.6" x14ac:dyDescent="0.3">
      <c r="A13" s="141"/>
      <c r="B13" s="141">
        <f t="shared" si="5"/>
        <v>8</v>
      </c>
      <c r="C13" s="128">
        <v>0.83299999999999996</v>
      </c>
      <c r="D13" s="141">
        <f t="shared" si="1"/>
        <v>12495</v>
      </c>
      <c r="E13" s="107">
        <f t="shared" si="2"/>
        <v>0.26</v>
      </c>
      <c r="F13" s="108">
        <f t="shared" si="3"/>
        <v>3248.7000000000003</v>
      </c>
      <c r="G13" s="108">
        <f t="shared" si="7"/>
        <v>2309.7242501522492</v>
      </c>
      <c r="H13" s="108">
        <f t="shared" si="4"/>
        <v>938.9757498477511</v>
      </c>
      <c r="I13" s="108">
        <f t="shared" si="0"/>
        <v>438.03911714194413</v>
      </c>
      <c r="J13" s="108">
        <f t="shared" si="6"/>
        <v>-11196.955713628722</v>
      </c>
      <c r="K13" s="103"/>
      <c r="L13" s="103"/>
      <c r="M13" s="103"/>
      <c r="N13" s="128">
        <v>0.96399999999999997</v>
      </c>
      <c r="O13" s="103"/>
      <c r="P13" s="92"/>
      <c r="Q13" s="93"/>
      <c r="R13" s="92"/>
      <c r="S13" s="92"/>
      <c r="T13" s="92"/>
      <c r="U13" s="92"/>
      <c r="V13" s="92"/>
      <c r="W13" s="92"/>
      <c r="X13" s="92"/>
      <c r="Y13" s="103"/>
      <c r="Z13" s="103"/>
      <c r="AA13" s="103"/>
      <c r="AB13" s="103"/>
      <c r="AC13" s="103"/>
      <c r="AD13" s="103"/>
    </row>
    <row r="14" spans="1:30" ht="15.6" x14ac:dyDescent="0.3">
      <c r="A14" s="141"/>
      <c r="B14" s="141">
        <f t="shared" si="5"/>
        <v>9</v>
      </c>
      <c r="C14" s="129">
        <v>1</v>
      </c>
      <c r="D14" s="141">
        <f t="shared" si="1"/>
        <v>15000</v>
      </c>
      <c r="E14" s="107">
        <f t="shared" si="2"/>
        <v>0.26</v>
      </c>
      <c r="F14" s="108">
        <f t="shared" si="3"/>
        <v>3900</v>
      </c>
      <c r="G14" s="108">
        <f t="shared" si="7"/>
        <v>2389.7429980832462</v>
      </c>
      <c r="H14" s="108">
        <f t="shared" si="4"/>
        <v>1510.2570019167538</v>
      </c>
      <c r="I14" s="108">
        <f t="shared" si="0"/>
        <v>640.49639764326423</v>
      </c>
      <c r="J14" s="108">
        <f t="shared" si="6"/>
        <v>-10556.459315985458</v>
      </c>
      <c r="K14" s="103"/>
      <c r="L14" s="103"/>
      <c r="M14" s="103"/>
      <c r="N14" s="128">
        <v>1</v>
      </c>
      <c r="O14" s="103"/>
      <c r="P14" s="105"/>
      <c r="Q14" s="103"/>
      <c r="R14" s="103"/>
      <c r="S14" s="103"/>
      <c r="T14" s="103"/>
      <c r="U14" s="103"/>
      <c r="V14" s="103"/>
      <c r="W14" s="103"/>
      <c r="X14" s="103"/>
      <c r="Y14" s="103"/>
      <c r="Z14" s="103"/>
      <c r="AA14" s="103"/>
      <c r="AB14" s="103"/>
      <c r="AC14" s="103"/>
      <c r="AD14" s="103"/>
    </row>
    <row r="15" spans="1:30" ht="15.6" x14ac:dyDescent="0.3">
      <c r="A15" s="141"/>
      <c r="B15" s="141">
        <f t="shared" si="5"/>
        <v>10</v>
      </c>
      <c r="C15" s="129">
        <v>1</v>
      </c>
      <c r="D15" s="141">
        <f t="shared" si="1"/>
        <v>15000</v>
      </c>
      <c r="E15" s="107">
        <f t="shared" si="2"/>
        <v>0.26</v>
      </c>
      <c r="F15" s="108">
        <f t="shared" si="3"/>
        <v>3900</v>
      </c>
      <c r="G15" s="108">
        <f t="shared" si="7"/>
        <v>2389.7429980832462</v>
      </c>
      <c r="H15" s="108">
        <f t="shared" si="4"/>
        <v>1510.2570019167538</v>
      </c>
      <c r="I15" s="108">
        <f t="shared" si="0"/>
        <v>582.26945240296743</v>
      </c>
      <c r="J15" s="108">
        <f t="shared" si="6"/>
        <v>-9974.1898635824909</v>
      </c>
      <c r="K15" s="103"/>
      <c r="L15" s="103"/>
      <c r="M15" s="103"/>
      <c r="N15" s="128">
        <v>1</v>
      </c>
      <c r="O15" s="103"/>
      <c r="P15" s="3"/>
      <c r="Q15" s="103"/>
      <c r="R15" s="103"/>
      <c r="S15" s="103"/>
      <c r="T15" s="103"/>
      <c r="U15" s="103"/>
      <c r="V15" s="103"/>
      <c r="W15" s="103"/>
      <c r="X15" s="103"/>
      <c r="Y15" s="103"/>
      <c r="Z15" s="103"/>
      <c r="AA15" s="103"/>
      <c r="AB15" s="103"/>
      <c r="AC15" s="103"/>
      <c r="AD15" s="103"/>
    </row>
    <row r="16" spans="1:30" ht="15.6" x14ac:dyDescent="0.3">
      <c r="A16" s="141"/>
      <c r="B16" s="141">
        <f t="shared" si="5"/>
        <v>11</v>
      </c>
      <c r="C16" s="129">
        <v>1</v>
      </c>
      <c r="D16" s="141">
        <f t="shared" si="1"/>
        <v>15000</v>
      </c>
      <c r="E16" s="107">
        <f t="shared" si="2"/>
        <v>0.26</v>
      </c>
      <c r="F16" s="108">
        <f t="shared" si="3"/>
        <v>3900</v>
      </c>
      <c r="G16" s="108">
        <f t="shared" si="7"/>
        <v>2389.7429980832462</v>
      </c>
      <c r="H16" s="108">
        <f t="shared" si="4"/>
        <v>1510.2570019167538</v>
      </c>
      <c r="I16" s="108">
        <f t="shared" si="0"/>
        <v>529.33586582087946</v>
      </c>
      <c r="J16" s="108">
        <f t="shared" si="6"/>
        <v>-9444.853997761611</v>
      </c>
      <c r="K16" s="103"/>
      <c r="L16" s="103"/>
      <c r="M16" s="103"/>
      <c r="N16" s="128">
        <v>1</v>
      </c>
      <c r="O16" s="103"/>
      <c r="P16" s="90"/>
      <c r="Q16" s="90"/>
      <c r="R16" s="90"/>
      <c r="S16" s="90"/>
      <c r="T16" s="89"/>
      <c r="U16" s="89"/>
      <c r="V16" s="89"/>
      <c r="W16" s="89"/>
      <c r="X16" s="103"/>
      <c r="Y16" s="103"/>
      <c r="Z16" s="103"/>
      <c r="AA16" s="103"/>
      <c r="AB16" s="103"/>
      <c r="AC16" s="103"/>
      <c r="AD16" s="103"/>
    </row>
    <row r="17" spans="1:30" ht="15.6" x14ac:dyDescent="0.3">
      <c r="A17" s="141"/>
      <c r="B17" s="96">
        <f t="shared" si="5"/>
        <v>12</v>
      </c>
      <c r="C17" s="129">
        <v>1</v>
      </c>
      <c r="D17" s="141">
        <f t="shared" si="1"/>
        <v>15000</v>
      </c>
      <c r="E17" s="97">
        <f t="shared" si="2"/>
        <v>0.26</v>
      </c>
      <c r="F17" s="109">
        <f t="shared" si="3"/>
        <v>3900</v>
      </c>
      <c r="G17" s="108">
        <f t="shared" si="7"/>
        <v>2389.7429980832462</v>
      </c>
      <c r="H17" s="108">
        <f t="shared" si="4"/>
        <v>1510.2570019167538</v>
      </c>
      <c r="I17" s="109">
        <f t="shared" si="0"/>
        <v>481.21442347352678</v>
      </c>
      <c r="J17" s="109">
        <f t="shared" si="6"/>
        <v>-8963.639574288085</v>
      </c>
      <c r="K17" s="103"/>
      <c r="L17" s="103"/>
      <c r="M17" s="103"/>
      <c r="N17" s="128">
        <v>1</v>
      </c>
      <c r="O17" s="103"/>
      <c r="T17" s="103"/>
      <c r="U17" s="103"/>
      <c r="V17" s="103"/>
      <c r="W17" s="103"/>
      <c r="X17" s="103"/>
      <c r="Y17" s="103"/>
      <c r="Z17" s="103"/>
      <c r="AA17" s="103"/>
      <c r="AB17" s="103"/>
      <c r="AC17" s="103"/>
      <c r="AD17" s="103"/>
    </row>
    <row r="18" spans="1:30" ht="15.6" x14ac:dyDescent="0.3">
      <c r="A18" s="141"/>
      <c r="B18" s="141">
        <f t="shared" si="5"/>
        <v>13</v>
      </c>
      <c r="C18" s="129">
        <v>1</v>
      </c>
      <c r="D18" s="141">
        <f t="shared" si="1"/>
        <v>15000</v>
      </c>
      <c r="E18" s="107">
        <f t="shared" si="2"/>
        <v>0.26</v>
      </c>
      <c r="F18" s="108">
        <f t="shared" si="3"/>
        <v>3900</v>
      </c>
      <c r="G18" s="108">
        <f t="shared" si="7"/>
        <v>2389.7429980832462</v>
      </c>
      <c r="H18" s="108">
        <f t="shared" si="4"/>
        <v>1510.2570019167538</v>
      </c>
      <c r="I18" s="108">
        <f t="shared" si="0"/>
        <v>437.46765770320616</v>
      </c>
      <c r="J18" s="108">
        <f t="shared" si="6"/>
        <v>-8526.171916584879</v>
      </c>
      <c r="K18" s="103"/>
      <c r="L18" s="103"/>
      <c r="M18" s="103"/>
      <c r="N18" s="128">
        <v>1</v>
      </c>
      <c r="O18" s="103"/>
      <c r="P18" s="3"/>
      <c r="Q18" s="103"/>
      <c r="R18" s="103"/>
      <c r="S18" s="103"/>
      <c r="T18" s="103"/>
      <c r="U18" s="103"/>
      <c r="V18" s="103"/>
      <c r="W18" s="103"/>
      <c r="X18" s="103"/>
      <c r="Y18" s="103"/>
      <c r="Z18" s="103"/>
      <c r="AA18" s="103"/>
      <c r="AB18" s="103"/>
      <c r="AC18" s="103"/>
      <c r="AD18" s="103"/>
    </row>
    <row r="19" spans="1:30" ht="15.6" x14ac:dyDescent="0.3">
      <c r="A19" s="141"/>
      <c r="B19" s="141">
        <f t="shared" si="5"/>
        <v>14</v>
      </c>
      <c r="C19" s="129">
        <v>1</v>
      </c>
      <c r="D19" s="141">
        <f t="shared" si="1"/>
        <v>15000</v>
      </c>
      <c r="E19" s="107">
        <f t="shared" si="2"/>
        <v>0.26</v>
      </c>
      <c r="F19" s="108">
        <f t="shared" si="3"/>
        <v>3900</v>
      </c>
      <c r="G19" s="108">
        <f t="shared" si="7"/>
        <v>2389.7429980832462</v>
      </c>
      <c r="H19" s="108">
        <f t="shared" si="4"/>
        <v>1510.2570019167538</v>
      </c>
      <c r="I19" s="108">
        <f t="shared" si="0"/>
        <v>397.69787063927822</v>
      </c>
      <c r="J19" s="108">
        <f t="shared" si="6"/>
        <v>-8128.4740459456007</v>
      </c>
      <c r="K19" s="103"/>
      <c r="L19" s="103"/>
      <c r="M19" s="103"/>
      <c r="N19" s="128">
        <v>1</v>
      </c>
      <c r="S19" s="99"/>
      <c r="T19" s="103"/>
      <c r="U19" s="103"/>
      <c r="V19" s="103"/>
      <c r="W19" s="103"/>
      <c r="X19" s="103"/>
      <c r="Y19" s="103"/>
      <c r="Z19" s="103"/>
      <c r="AA19" s="103"/>
      <c r="AB19" s="103"/>
      <c r="AC19" s="103"/>
      <c r="AD19" s="103"/>
    </row>
    <row r="20" spans="1:30" ht="15.6" x14ac:dyDescent="0.3">
      <c r="A20" s="141"/>
      <c r="B20" s="141">
        <f t="shared" si="5"/>
        <v>15</v>
      </c>
      <c r="C20" s="129">
        <v>1</v>
      </c>
      <c r="D20" s="141">
        <f t="shared" si="1"/>
        <v>15000</v>
      </c>
      <c r="E20" s="107">
        <f t="shared" si="2"/>
        <v>0.26</v>
      </c>
      <c r="F20" s="108">
        <f t="shared" si="3"/>
        <v>3900</v>
      </c>
      <c r="G20" s="108">
        <f t="shared" si="7"/>
        <v>2389.7429980832462</v>
      </c>
      <c r="H20" s="108">
        <f t="shared" si="4"/>
        <v>1510.2570019167538</v>
      </c>
      <c r="I20" s="108">
        <f t="shared" si="0"/>
        <v>361.54351876298023</v>
      </c>
      <c r="J20" s="108">
        <f t="shared" si="6"/>
        <v>-7766.9305271826206</v>
      </c>
      <c r="K20" s="103"/>
      <c r="L20" s="103"/>
      <c r="M20" s="103"/>
      <c r="N20" s="128">
        <v>1</v>
      </c>
      <c r="O20" s="103"/>
      <c r="P20" s="3"/>
      <c r="Q20" s="103"/>
      <c r="R20" s="103"/>
      <c r="S20" s="103"/>
      <c r="T20" s="103"/>
      <c r="U20" s="103"/>
      <c r="V20" s="103"/>
      <c r="W20" s="103"/>
      <c r="X20" s="103"/>
      <c r="Y20" s="103"/>
      <c r="Z20" s="103"/>
      <c r="AA20" s="103"/>
      <c r="AB20" s="103"/>
      <c r="AC20" s="103"/>
      <c r="AD20" s="103"/>
    </row>
    <row r="21" spans="1:30" ht="15.6" x14ac:dyDescent="0.3">
      <c r="A21" s="141"/>
      <c r="B21" s="141">
        <f t="shared" si="5"/>
        <v>16</v>
      </c>
      <c r="C21" s="129">
        <v>1</v>
      </c>
      <c r="D21" s="141">
        <f t="shared" si="1"/>
        <v>15000</v>
      </c>
      <c r="E21" s="107">
        <f t="shared" si="2"/>
        <v>0.26</v>
      </c>
      <c r="F21" s="108">
        <f t="shared" si="3"/>
        <v>3900</v>
      </c>
      <c r="G21" s="108">
        <f t="shared" si="7"/>
        <v>2389.7429980832462</v>
      </c>
      <c r="H21" s="108">
        <f t="shared" si="4"/>
        <v>1510.2570019167538</v>
      </c>
      <c r="I21" s="108">
        <f t="shared" si="0"/>
        <v>328.67592614816385</v>
      </c>
      <c r="J21" s="108">
        <f t="shared" si="6"/>
        <v>-7438.2546010344568</v>
      </c>
      <c r="K21" s="103"/>
      <c r="L21" s="103"/>
      <c r="M21" s="103"/>
      <c r="N21" s="128">
        <v>1</v>
      </c>
      <c r="O21" s="103"/>
      <c r="P21" s="3"/>
      <c r="Q21" s="103"/>
      <c r="R21" s="103"/>
      <c r="S21" s="103"/>
      <c r="T21" s="103"/>
      <c r="U21" s="103"/>
      <c r="V21" s="103"/>
      <c r="W21" s="103"/>
      <c r="X21" s="103"/>
      <c r="Y21" s="103"/>
      <c r="Z21" s="103"/>
      <c r="AA21" s="103"/>
      <c r="AB21" s="103"/>
      <c r="AC21" s="103"/>
      <c r="AD21" s="103"/>
    </row>
    <row r="22" spans="1:30" ht="15.6" x14ac:dyDescent="0.3">
      <c r="A22" s="141"/>
      <c r="B22" s="96">
        <f t="shared" si="5"/>
        <v>17</v>
      </c>
      <c r="C22" s="129">
        <v>1</v>
      </c>
      <c r="D22" s="141">
        <f t="shared" si="1"/>
        <v>15000</v>
      </c>
      <c r="E22" s="97">
        <f t="shared" si="2"/>
        <v>0.26</v>
      </c>
      <c r="F22" s="109">
        <f t="shared" si="3"/>
        <v>3900</v>
      </c>
      <c r="G22" s="108">
        <f t="shared" si="7"/>
        <v>2389.7429980832462</v>
      </c>
      <c r="H22" s="108">
        <f t="shared" si="4"/>
        <v>1510.2570019167538</v>
      </c>
      <c r="I22" s="109">
        <f t="shared" si="0"/>
        <v>298.79629649833072</v>
      </c>
      <c r="J22" s="109">
        <f t="shared" si="6"/>
        <v>-7139.458304536126</v>
      </c>
      <c r="K22" s="103"/>
      <c r="L22" s="103"/>
      <c r="M22" s="103"/>
      <c r="N22" s="128">
        <v>1</v>
      </c>
      <c r="O22" s="103"/>
      <c r="P22" s="3"/>
      <c r="Q22" s="103"/>
      <c r="R22" s="103"/>
      <c r="S22" s="103"/>
      <c r="T22" s="103"/>
      <c r="U22" s="103"/>
      <c r="V22" s="103"/>
      <c r="W22" s="103"/>
      <c r="X22" s="103"/>
      <c r="Y22" s="103"/>
      <c r="Z22" s="103"/>
      <c r="AA22" s="103"/>
      <c r="AB22" s="103"/>
      <c r="AC22" s="103"/>
      <c r="AD22" s="103"/>
    </row>
    <row r="23" spans="1:30" ht="15.6" x14ac:dyDescent="0.3">
      <c r="A23" s="141"/>
      <c r="B23" s="96">
        <f t="shared" si="5"/>
        <v>18</v>
      </c>
      <c r="C23" s="129">
        <v>1</v>
      </c>
      <c r="D23" s="141">
        <f t="shared" si="1"/>
        <v>15000</v>
      </c>
      <c r="E23" s="97">
        <f t="shared" si="2"/>
        <v>0.26</v>
      </c>
      <c r="F23" s="109">
        <f t="shared" si="3"/>
        <v>3900</v>
      </c>
      <c r="G23" s="108">
        <f t="shared" si="7"/>
        <v>2389.7429980832462</v>
      </c>
      <c r="H23" s="108">
        <f t="shared" si="4"/>
        <v>1510.2570019167538</v>
      </c>
      <c r="I23" s="109">
        <f t="shared" si="0"/>
        <v>271.63299681666427</v>
      </c>
      <c r="J23" s="109">
        <f t="shared" si="6"/>
        <v>-6867.8253077194613</v>
      </c>
      <c r="K23" s="103"/>
      <c r="L23" s="103"/>
      <c r="M23" s="103"/>
      <c r="N23" s="128">
        <v>1</v>
      </c>
      <c r="O23" s="103"/>
      <c r="P23" s="3"/>
      <c r="Q23" s="103"/>
      <c r="R23" s="103"/>
      <c r="S23" s="103"/>
      <c r="T23" s="103"/>
      <c r="U23" s="103"/>
      <c r="V23" s="103"/>
      <c r="W23" s="103"/>
      <c r="X23" s="103"/>
      <c r="Y23" s="103"/>
      <c r="Z23" s="103"/>
      <c r="AA23" s="103"/>
      <c r="AB23" s="103"/>
      <c r="AC23" s="103"/>
      <c r="AD23" s="103"/>
    </row>
    <row r="24" spans="1:30" ht="15.6" x14ac:dyDescent="0.3">
      <c r="A24" s="141"/>
      <c r="B24" s="141">
        <f t="shared" si="5"/>
        <v>19</v>
      </c>
      <c r="C24" s="129">
        <v>1</v>
      </c>
      <c r="D24" s="141">
        <f t="shared" si="1"/>
        <v>15000</v>
      </c>
      <c r="E24" s="107">
        <f t="shared" si="2"/>
        <v>0.26</v>
      </c>
      <c r="F24" s="108">
        <f t="shared" si="3"/>
        <v>3900</v>
      </c>
      <c r="G24" s="108">
        <f t="shared" si="7"/>
        <v>2389.7429980832462</v>
      </c>
      <c r="H24" s="108">
        <f t="shared" si="4"/>
        <v>1510.2570019167538</v>
      </c>
      <c r="I24" s="108">
        <f t="shared" si="0"/>
        <v>246.93908801514931</v>
      </c>
      <c r="J24" s="108">
        <f t="shared" si="6"/>
        <v>-6620.8862197043118</v>
      </c>
      <c r="K24" s="137">
        <f>-PMT($T$6,B24,J24,1)</f>
        <v>-791.48666563540553</v>
      </c>
      <c r="L24" s="103"/>
      <c r="M24" s="103"/>
      <c r="N24" s="128">
        <v>1</v>
      </c>
      <c r="O24" s="103"/>
      <c r="P24" s="103"/>
      <c r="Q24" s="103"/>
      <c r="R24" s="103"/>
      <c r="S24" s="103"/>
      <c r="T24" s="103"/>
      <c r="U24" s="103"/>
      <c r="V24" s="103"/>
      <c r="W24" s="103"/>
      <c r="X24" s="103"/>
      <c r="Y24" s="103"/>
      <c r="Z24" s="103"/>
      <c r="AA24" s="103"/>
      <c r="AB24" s="103"/>
      <c r="AC24" s="103"/>
      <c r="AD24" s="103"/>
    </row>
    <row r="25" spans="1:30" ht="15.6" x14ac:dyDescent="0.3">
      <c r="A25" s="141"/>
      <c r="B25" s="96">
        <f t="shared" si="5"/>
        <v>20</v>
      </c>
      <c r="C25" s="129">
        <v>1</v>
      </c>
      <c r="D25" s="141">
        <f t="shared" si="1"/>
        <v>15000</v>
      </c>
      <c r="E25" s="107">
        <f t="shared" si="2"/>
        <v>0.26</v>
      </c>
      <c r="F25" s="108">
        <f t="shared" si="3"/>
        <v>3900</v>
      </c>
      <c r="G25" s="108">
        <f t="shared" si="7"/>
        <v>2389.7429980832462</v>
      </c>
      <c r="H25" s="108">
        <f t="shared" si="4"/>
        <v>1510.2570019167538</v>
      </c>
      <c r="I25" s="108">
        <f t="shared" si="0"/>
        <v>224.49008001377211</v>
      </c>
      <c r="J25" s="108">
        <f t="shared" si="6"/>
        <v>-6396.3961396905397</v>
      </c>
      <c r="K25" s="137">
        <f t="shared" ref="K25:K35" si="8">-PMT($T$6,B25,J25,1)</f>
        <v>-751.30083083983868</v>
      </c>
      <c r="L25" s="103"/>
      <c r="M25" s="103"/>
      <c r="N25" s="128">
        <v>1</v>
      </c>
      <c r="O25" s="103"/>
      <c r="P25" s="103"/>
      <c r="Q25" s="103"/>
      <c r="R25" s="103"/>
      <c r="S25" s="103"/>
      <c r="T25" s="103"/>
      <c r="U25" s="103"/>
      <c r="V25" s="103"/>
      <c r="W25" s="103"/>
      <c r="X25" s="103"/>
      <c r="Y25" s="103"/>
      <c r="Z25" s="103"/>
      <c r="AA25" s="103"/>
      <c r="AB25" s="103"/>
      <c r="AC25" s="103"/>
      <c r="AD25" s="103"/>
    </row>
    <row r="26" spans="1:30" ht="15.6" x14ac:dyDescent="0.3">
      <c r="A26" s="141"/>
      <c r="B26" s="141">
        <f t="shared" si="5"/>
        <v>21</v>
      </c>
      <c r="C26" s="130">
        <v>0.95</v>
      </c>
      <c r="D26" s="141">
        <f t="shared" si="1"/>
        <v>14250</v>
      </c>
      <c r="E26" s="107">
        <f t="shared" si="2"/>
        <v>0.26</v>
      </c>
      <c r="F26" s="108">
        <f t="shared" si="3"/>
        <v>3705</v>
      </c>
      <c r="G26" s="108">
        <f t="shared" si="7"/>
        <v>2343.0653951234981</v>
      </c>
      <c r="H26" s="108">
        <f t="shared" si="4"/>
        <v>1361.9346048765019</v>
      </c>
      <c r="I26" s="108">
        <f t="shared" si="0"/>
        <v>184.03900072770142</v>
      </c>
      <c r="J26" s="108">
        <f t="shared" si="6"/>
        <v>-6212.3571389628387</v>
      </c>
      <c r="K26" s="137">
        <f t="shared" si="8"/>
        <v>-718.28437907435591</v>
      </c>
      <c r="L26" s="103"/>
      <c r="M26" s="103"/>
      <c r="N26" s="127">
        <v>0.97899999999999998</v>
      </c>
      <c r="O26" s="103"/>
      <c r="P26" s="103"/>
      <c r="Q26" s="103"/>
      <c r="R26" s="103"/>
      <c r="S26" s="103"/>
      <c r="T26" s="103"/>
      <c r="U26" s="103"/>
      <c r="V26" s="103"/>
      <c r="W26" s="103"/>
      <c r="X26" s="103"/>
      <c r="Y26" s="103"/>
      <c r="Z26" s="103"/>
      <c r="AA26" s="103"/>
      <c r="AB26" s="103"/>
      <c r="AC26" s="103"/>
      <c r="AD26" s="103"/>
    </row>
    <row r="27" spans="1:30" ht="15.6" x14ac:dyDescent="0.3">
      <c r="A27" s="141"/>
      <c r="B27" s="96">
        <f t="shared" si="5"/>
        <v>22</v>
      </c>
      <c r="C27" s="128">
        <v>0.9</v>
      </c>
      <c r="D27" s="141">
        <f t="shared" si="1"/>
        <v>13500</v>
      </c>
      <c r="E27" s="107">
        <f t="shared" si="2"/>
        <v>0.26</v>
      </c>
      <c r="F27" s="108">
        <f t="shared" si="3"/>
        <v>3510</v>
      </c>
      <c r="G27" s="108">
        <f t="shared" si="7"/>
        <v>2294.1650491656665</v>
      </c>
      <c r="H27" s="108">
        <f t="shared" si="4"/>
        <v>1215.8349508343335</v>
      </c>
      <c r="I27" s="108">
        <f t="shared" si="0"/>
        <v>149.36042824014166</v>
      </c>
      <c r="J27" s="108">
        <f t="shared" si="6"/>
        <v>-6062.9967107226967</v>
      </c>
      <c r="K27" s="137">
        <f t="shared" si="8"/>
        <v>-691.19831661154058</v>
      </c>
      <c r="L27" s="103"/>
      <c r="M27" s="103"/>
      <c r="N27" s="127">
        <v>0.95699999999999996</v>
      </c>
      <c r="O27" s="103"/>
      <c r="P27" s="103"/>
      <c r="Q27" s="103"/>
      <c r="R27" s="103"/>
      <c r="S27" s="103"/>
      <c r="T27" s="103"/>
      <c r="U27" s="103"/>
      <c r="V27" s="103"/>
      <c r="W27" s="103"/>
      <c r="X27" s="103"/>
      <c r="Y27" s="103"/>
      <c r="Z27" s="103"/>
      <c r="AA27" s="103"/>
      <c r="AB27" s="103"/>
      <c r="AC27" s="103"/>
      <c r="AD27" s="103"/>
    </row>
    <row r="28" spans="1:30" ht="15.6" x14ac:dyDescent="0.3">
      <c r="A28" s="141"/>
      <c r="B28" s="141">
        <f t="shared" si="5"/>
        <v>23</v>
      </c>
      <c r="C28" s="130">
        <v>0.85</v>
      </c>
      <c r="D28" s="141">
        <f t="shared" si="1"/>
        <v>12750</v>
      </c>
      <c r="E28" s="107">
        <f t="shared" si="2"/>
        <v>0.26</v>
      </c>
      <c r="F28" s="108">
        <f t="shared" si="3"/>
        <v>3315</v>
      </c>
      <c r="G28" s="108">
        <f t="shared" si="7"/>
        <v>2245.2647032078353</v>
      </c>
      <c r="H28" s="108">
        <f t="shared" si="4"/>
        <v>1069.7352967921647</v>
      </c>
      <c r="I28" s="108">
        <f t="shared" si="0"/>
        <v>119.46606727323156</v>
      </c>
      <c r="J28" s="108">
        <f t="shared" si="6"/>
        <v>-5943.5306434494651</v>
      </c>
      <c r="K28" s="137">
        <f t="shared" si="8"/>
        <v>-669.06144630349661</v>
      </c>
      <c r="L28" s="103"/>
      <c r="M28" s="103"/>
      <c r="N28" s="127">
        <v>0.93500000000000005</v>
      </c>
      <c r="O28" s="103"/>
      <c r="P28" s="103"/>
      <c r="Q28" s="103"/>
      <c r="R28" s="103"/>
      <c r="S28" s="103"/>
      <c r="T28" s="103"/>
      <c r="U28" s="103"/>
      <c r="V28" s="103"/>
      <c r="W28" s="103"/>
      <c r="X28" s="103"/>
      <c r="Y28" s="103"/>
      <c r="Z28" s="103"/>
      <c r="AA28" s="103"/>
      <c r="AB28" s="103"/>
      <c r="AC28" s="103"/>
      <c r="AD28" s="103"/>
    </row>
    <row r="29" spans="1:30" ht="15.6" x14ac:dyDescent="0.3">
      <c r="A29" s="141"/>
      <c r="B29" s="96">
        <f t="shared" si="5"/>
        <v>24</v>
      </c>
      <c r="C29" s="128">
        <v>0.8</v>
      </c>
      <c r="D29" s="141">
        <f t="shared" si="1"/>
        <v>12000</v>
      </c>
      <c r="E29" s="107">
        <f t="shared" si="2"/>
        <v>0.26</v>
      </c>
      <c r="F29" s="108">
        <f t="shared" si="3"/>
        <v>3120</v>
      </c>
      <c r="G29" s="108">
        <f t="shared" si="7"/>
        <v>2196.3643572500041</v>
      </c>
      <c r="H29" s="108">
        <f t="shared" si="4"/>
        <v>923.6356427499959</v>
      </c>
      <c r="I29" s="108">
        <f t="shared" si="0"/>
        <v>93.77266095947752</v>
      </c>
      <c r="J29" s="108">
        <f t="shared" si="6"/>
        <v>-5849.7579824899876</v>
      </c>
      <c r="K29" s="137">
        <f t="shared" si="8"/>
        <v>-651.06545538043576</v>
      </c>
      <c r="L29" s="103"/>
      <c r="M29" s="103"/>
      <c r="N29" s="127">
        <v>0.91300000000000003</v>
      </c>
      <c r="O29" s="103"/>
      <c r="P29" s="103"/>
      <c r="Q29" s="103"/>
      <c r="R29" s="103"/>
      <c r="S29" s="103"/>
      <c r="T29" s="103"/>
      <c r="U29" s="103"/>
      <c r="V29" s="103"/>
      <c r="W29" s="103"/>
      <c r="X29" s="103"/>
      <c r="Y29" s="103"/>
      <c r="Z29" s="103"/>
      <c r="AA29" s="103"/>
      <c r="AB29" s="103"/>
      <c r="AC29" s="103"/>
      <c r="AD29" s="103"/>
    </row>
    <row r="30" spans="1:30" ht="15.6" x14ac:dyDescent="0.3">
      <c r="A30" s="141"/>
      <c r="B30" s="141">
        <f t="shared" si="5"/>
        <v>25</v>
      </c>
      <c r="C30" s="130">
        <v>0.75</v>
      </c>
      <c r="D30" s="141">
        <f t="shared" si="1"/>
        <v>11250</v>
      </c>
      <c r="E30" s="107">
        <f t="shared" si="2"/>
        <v>0.26</v>
      </c>
      <c r="F30" s="108">
        <f t="shared" si="3"/>
        <v>2925</v>
      </c>
      <c r="G30" s="108">
        <f t="shared" si="7"/>
        <v>2147.4640112921725</v>
      </c>
      <c r="H30" s="108">
        <f t="shared" si="4"/>
        <v>777.53598870782753</v>
      </c>
      <c r="I30" s="108">
        <f t="shared" si="0"/>
        <v>71.763460196379341</v>
      </c>
      <c r="J30" s="108">
        <f t="shared" si="6"/>
        <v>-5777.9945222936085</v>
      </c>
      <c r="K30" s="137">
        <f t="shared" si="8"/>
        <v>-636.54034957339729</v>
      </c>
      <c r="L30" s="103"/>
      <c r="M30" s="103"/>
      <c r="N30" s="127">
        <v>0.89100000000000001</v>
      </c>
      <c r="O30" s="103"/>
      <c r="P30" s="103"/>
      <c r="Q30" s="103"/>
      <c r="R30" s="103"/>
      <c r="S30" s="103"/>
      <c r="T30" s="103"/>
      <c r="U30" s="103"/>
      <c r="V30" s="103"/>
      <c r="W30" s="103"/>
      <c r="X30" s="103"/>
      <c r="Y30" s="103"/>
      <c r="Z30" s="103"/>
      <c r="AA30" s="103"/>
      <c r="AB30" s="103"/>
      <c r="AC30" s="103"/>
      <c r="AD30" s="103"/>
    </row>
    <row r="31" spans="1:30" ht="15.6" x14ac:dyDescent="0.3">
      <c r="A31" s="141"/>
      <c r="B31" s="96">
        <f t="shared" si="5"/>
        <v>26</v>
      </c>
      <c r="C31" s="128">
        <v>0.7</v>
      </c>
      <c r="D31" s="141">
        <f t="shared" si="1"/>
        <v>10500</v>
      </c>
      <c r="E31" s="107">
        <f t="shared" si="2"/>
        <v>0.26</v>
      </c>
      <c r="F31" s="108">
        <f t="shared" si="3"/>
        <v>2730</v>
      </c>
      <c r="G31" s="108">
        <f t="shared" si="7"/>
        <v>2098.5636653343408</v>
      </c>
      <c r="H31" s="108">
        <f t="shared" si="4"/>
        <v>631.43633466565916</v>
      </c>
      <c r="I31" s="108">
        <f t="shared" si="0"/>
        <v>52.980951630212438</v>
      </c>
      <c r="J31" s="108">
        <f t="shared" si="6"/>
        <v>-5725.0135706633964</v>
      </c>
      <c r="K31" s="137">
        <f t="shared" si="8"/>
        <v>-624.92781812313206</v>
      </c>
      <c r="L31" s="103"/>
      <c r="M31" s="103"/>
      <c r="N31" s="127">
        <v>0.86899999999999999</v>
      </c>
      <c r="O31" s="103"/>
      <c r="P31" s="103"/>
      <c r="Q31" s="103"/>
      <c r="R31" s="103"/>
      <c r="S31" s="103"/>
      <c r="T31" s="103"/>
      <c r="U31" s="103"/>
      <c r="V31" s="103"/>
      <c r="W31" s="103"/>
      <c r="X31" s="103"/>
      <c r="Y31" s="103"/>
      <c r="Z31" s="103"/>
      <c r="AA31" s="103"/>
      <c r="AB31" s="103"/>
      <c r="AC31" s="103"/>
      <c r="AD31" s="103"/>
    </row>
    <row r="32" spans="1:30" ht="15.6" x14ac:dyDescent="0.3">
      <c r="A32" s="141"/>
      <c r="B32" s="141">
        <f t="shared" si="5"/>
        <v>27</v>
      </c>
      <c r="C32" s="130">
        <v>0.65</v>
      </c>
      <c r="D32" s="141">
        <f t="shared" si="1"/>
        <v>9750</v>
      </c>
      <c r="E32" s="107">
        <f t="shared" si="2"/>
        <v>0.26</v>
      </c>
      <c r="F32" s="108">
        <f t="shared" si="3"/>
        <v>2535</v>
      </c>
      <c r="G32" s="108">
        <f t="shared" si="7"/>
        <v>2049.6633193765092</v>
      </c>
      <c r="H32" s="108">
        <f t="shared" si="4"/>
        <v>485.33668062349079</v>
      </c>
      <c r="I32" s="108">
        <f t="shared" si="0"/>
        <v>37.020358173626462</v>
      </c>
      <c r="J32" s="108">
        <f t="shared" si="6"/>
        <v>-5687.9932124897696</v>
      </c>
      <c r="K32" s="137">
        <f t="shared" si="8"/>
        <v>-615.76047682476997</v>
      </c>
      <c r="L32" s="103"/>
      <c r="M32" s="103"/>
      <c r="N32" s="127">
        <v>0.84699999999999998</v>
      </c>
      <c r="O32" s="103"/>
      <c r="P32" s="103"/>
      <c r="Q32" s="103"/>
      <c r="R32" s="103"/>
      <c r="S32" s="103"/>
      <c r="T32" s="103"/>
      <c r="U32" s="103"/>
      <c r="V32" s="103"/>
      <c r="W32" s="103"/>
      <c r="X32" s="103"/>
      <c r="Y32" s="103"/>
      <c r="Z32" s="103"/>
      <c r="AA32" s="103"/>
      <c r="AB32" s="103"/>
      <c r="AC32" s="103"/>
      <c r="AD32" s="103"/>
    </row>
    <row r="33" spans="1:30" ht="15.6" x14ac:dyDescent="0.3">
      <c r="A33" s="141"/>
      <c r="B33" s="96">
        <f t="shared" si="5"/>
        <v>28</v>
      </c>
      <c r="C33" s="128">
        <v>0.6</v>
      </c>
      <c r="D33" s="141">
        <f t="shared" si="1"/>
        <v>9000</v>
      </c>
      <c r="E33" s="107">
        <f t="shared" si="2"/>
        <v>0.26</v>
      </c>
      <c r="F33" s="108">
        <f t="shared" si="3"/>
        <v>2340</v>
      </c>
      <c r="G33" s="108">
        <f t="shared" si="7"/>
        <v>2000.762973418678</v>
      </c>
      <c r="H33" s="108">
        <f t="shared" si="4"/>
        <v>339.23702658132197</v>
      </c>
      <c r="I33" s="108">
        <f t="shared" si="0"/>
        <v>23.523831695674168</v>
      </c>
      <c r="J33" s="108">
        <f t="shared" si="6"/>
        <v>-5664.4693807940957</v>
      </c>
      <c r="K33" s="137">
        <f t="shared" si="8"/>
        <v>-608.64552296138129</v>
      </c>
      <c r="L33" s="103"/>
      <c r="M33" s="103"/>
      <c r="N33" s="127">
        <v>0.82499999999999996</v>
      </c>
      <c r="O33" s="103"/>
      <c r="P33" s="103"/>
      <c r="Q33" s="103"/>
      <c r="R33" s="103"/>
      <c r="S33" s="103"/>
      <c r="T33" s="103"/>
      <c r="U33" s="103"/>
      <c r="V33" s="103"/>
      <c r="W33" s="103"/>
      <c r="X33" s="103"/>
      <c r="Y33" s="103"/>
      <c r="Z33" s="103"/>
      <c r="AA33" s="103"/>
      <c r="AB33" s="103"/>
      <c r="AC33" s="103"/>
      <c r="AD33" s="103"/>
    </row>
    <row r="34" spans="1:30" ht="15.6" x14ac:dyDescent="0.3">
      <c r="A34" s="141"/>
      <c r="B34" s="141">
        <f t="shared" si="5"/>
        <v>29</v>
      </c>
      <c r="C34" s="130">
        <v>0.55000000000000104</v>
      </c>
      <c r="D34" s="141">
        <f t="shared" si="1"/>
        <v>8250.0000000000164</v>
      </c>
      <c r="E34" s="107">
        <f t="shared" si="2"/>
        <v>0.26</v>
      </c>
      <c r="F34" s="108">
        <f t="shared" si="3"/>
        <v>2145.0000000000045</v>
      </c>
      <c r="G34" s="108">
        <f t="shared" si="7"/>
        <v>1951.8626274608469</v>
      </c>
      <c r="H34" s="108">
        <f t="shared" si="4"/>
        <v>193.1373725391577</v>
      </c>
      <c r="I34" s="108">
        <f t="shared" si="0"/>
        <v>12.17526574946864</v>
      </c>
      <c r="J34" s="108">
        <f t="shared" si="6"/>
        <v>-5652.2941150446268</v>
      </c>
      <c r="K34" s="137">
        <f t="shared" si="8"/>
        <v>-603.25174054323861</v>
      </c>
      <c r="L34" s="103"/>
      <c r="M34" s="103"/>
      <c r="N34" s="127">
        <v>0.80300000000000005</v>
      </c>
      <c r="O34" s="103"/>
      <c r="P34" s="103"/>
      <c r="Q34" s="103"/>
      <c r="R34" s="103"/>
      <c r="S34" s="103"/>
      <c r="T34" s="103"/>
      <c r="U34" s="103"/>
      <c r="V34" s="103"/>
      <c r="W34" s="103"/>
      <c r="X34" s="103"/>
      <c r="Y34" s="103"/>
      <c r="Z34" s="103"/>
      <c r="AA34" s="103"/>
      <c r="AB34" s="103"/>
      <c r="AC34" s="103"/>
      <c r="AD34" s="103"/>
    </row>
    <row r="35" spans="1:30" ht="15.6" x14ac:dyDescent="0.3">
      <c r="A35" s="141"/>
      <c r="B35" s="96">
        <f t="shared" si="5"/>
        <v>30</v>
      </c>
      <c r="C35" s="128">
        <v>0.500000000000001</v>
      </c>
      <c r="D35" s="141">
        <f t="shared" si="1"/>
        <v>7500.0000000000146</v>
      </c>
      <c r="E35" s="107">
        <f t="shared" si="2"/>
        <v>0.26</v>
      </c>
      <c r="F35" s="108">
        <f t="shared" si="3"/>
        <v>1950.0000000000039</v>
      </c>
      <c r="G35" s="108">
        <f t="shared" si="7"/>
        <v>1902.9622815030154</v>
      </c>
      <c r="H35" s="108">
        <f t="shared" si="4"/>
        <v>47.037718496988418</v>
      </c>
      <c r="I35" s="108">
        <f t="shared" si="0"/>
        <v>2.695663597649995</v>
      </c>
      <c r="J35" s="108">
        <f t="shared" si="6"/>
        <v>-5649.5984514469765</v>
      </c>
      <c r="K35" s="137">
        <f t="shared" si="8"/>
        <v>-599.29907741048737</v>
      </c>
      <c r="L35" s="103"/>
      <c r="M35" s="103"/>
      <c r="N35" s="127">
        <v>0.78100000000000003</v>
      </c>
      <c r="O35" s="103"/>
      <c r="P35" s="103"/>
      <c r="Q35" s="103"/>
      <c r="R35" s="103"/>
      <c r="S35" s="103"/>
      <c r="T35" s="103"/>
      <c r="U35" s="103"/>
      <c r="V35" s="103"/>
      <c r="W35" s="103"/>
      <c r="X35" s="103"/>
      <c r="Y35" s="103"/>
      <c r="Z35" s="103"/>
      <c r="AA35" s="103"/>
      <c r="AB35" s="103"/>
      <c r="AC35" s="103"/>
      <c r="AD35" s="103"/>
    </row>
    <row r="36" spans="1:30" ht="15.6" x14ac:dyDescent="0.3">
      <c r="A36" s="103"/>
      <c r="B36" s="103"/>
      <c r="C36" s="103"/>
      <c r="D36" s="141">
        <f t="shared" si="1"/>
        <v>0</v>
      </c>
      <c r="E36" s="107"/>
      <c r="F36" s="108"/>
      <c r="G36" s="108"/>
      <c r="H36" s="108"/>
      <c r="I36" s="108"/>
      <c r="J36" s="108"/>
      <c r="K36" s="103"/>
      <c r="L36" s="103"/>
      <c r="M36" s="103"/>
      <c r="N36" s="103"/>
      <c r="O36" s="103"/>
      <c r="P36" s="103"/>
      <c r="Q36" s="103"/>
      <c r="R36" s="103"/>
      <c r="S36" s="103"/>
      <c r="T36" s="103"/>
      <c r="U36" s="103"/>
      <c r="V36" s="103"/>
      <c r="W36" s="103"/>
      <c r="X36" s="103"/>
      <c r="Y36" s="103"/>
      <c r="Z36" s="103"/>
      <c r="AA36" s="103"/>
      <c r="AB36" s="103"/>
      <c r="AC36" s="103"/>
      <c r="AD36" s="103"/>
    </row>
    <row r="37" spans="1:30" ht="15.6" x14ac:dyDescent="0.3">
      <c r="A37" s="103"/>
      <c r="B37" s="103"/>
      <c r="C37" s="103"/>
      <c r="D37" s="98"/>
      <c r="E37" s="107"/>
      <c r="F37" s="108"/>
      <c r="G37" s="108"/>
      <c r="H37" s="108"/>
      <c r="I37" s="108"/>
      <c r="J37" s="108"/>
      <c r="K37" s="103"/>
      <c r="L37" s="103"/>
      <c r="M37" s="103"/>
      <c r="N37" s="103"/>
      <c r="O37" s="103"/>
      <c r="P37" s="103"/>
      <c r="Q37" s="103"/>
      <c r="R37" s="103"/>
      <c r="S37" s="103"/>
      <c r="T37" s="103"/>
      <c r="U37" s="103"/>
      <c r="V37" s="103"/>
      <c r="W37" s="103"/>
      <c r="X37" s="103"/>
      <c r="Y37" s="103"/>
      <c r="Z37" s="103"/>
      <c r="AA37" s="103"/>
      <c r="AB37" s="103"/>
      <c r="AC37" s="103"/>
      <c r="AD37" s="103"/>
    </row>
    <row r="38" spans="1:30" ht="15.6" x14ac:dyDescent="0.3">
      <c r="A38" s="103"/>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row>
    <row r="39" spans="1:30" ht="15.6" x14ac:dyDescent="0.3">
      <c r="A39" s="103"/>
      <c r="B39" s="103"/>
      <c r="C39" s="103"/>
      <c r="D39" s="103"/>
      <c r="E39" s="103"/>
      <c r="F39" s="103"/>
      <c r="G39" s="103"/>
      <c r="H39" s="593"/>
      <c r="I39" s="593"/>
      <c r="J39" s="94"/>
      <c r="K39" s="103"/>
      <c r="L39" s="103"/>
      <c r="M39" s="103"/>
      <c r="N39" s="103"/>
      <c r="O39" s="103"/>
      <c r="P39" s="103"/>
      <c r="Q39" s="103"/>
      <c r="R39" s="103"/>
      <c r="S39" s="103"/>
      <c r="T39" s="103"/>
      <c r="U39" s="103"/>
      <c r="V39" s="103"/>
      <c r="W39" s="103"/>
      <c r="X39" s="103"/>
      <c r="Y39" s="103"/>
      <c r="Z39" s="103"/>
      <c r="AA39" s="103"/>
      <c r="AB39" s="103"/>
      <c r="AC39" s="103"/>
      <c r="AD39" s="103"/>
    </row>
    <row r="40" spans="1:30" ht="15.6" x14ac:dyDescent="0.3">
      <c r="A40" s="103"/>
      <c r="B40" s="103"/>
      <c r="C40" s="103"/>
      <c r="D40" s="103"/>
      <c r="E40" s="103"/>
      <c r="F40" s="103"/>
      <c r="G40" s="103"/>
      <c r="H40" s="140"/>
      <c r="I40" s="140"/>
      <c r="J40" s="94"/>
      <c r="K40" s="103"/>
      <c r="L40" s="103"/>
      <c r="M40" s="103"/>
      <c r="N40" s="103"/>
      <c r="O40" s="103"/>
      <c r="P40" s="103"/>
      <c r="Q40" s="103"/>
      <c r="R40" s="103"/>
      <c r="S40" s="103"/>
      <c r="T40" s="103"/>
      <c r="U40" s="103"/>
      <c r="V40" s="103"/>
      <c r="W40" s="103"/>
      <c r="X40" s="103"/>
      <c r="Y40" s="103"/>
      <c r="Z40" s="103"/>
      <c r="AA40" s="103"/>
      <c r="AB40" s="103"/>
      <c r="AC40" s="103"/>
      <c r="AD40" s="103"/>
    </row>
    <row r="41" spans="1:30" ht="15.6" x14ac:dyDescent="0.3">
      <c r="A41" s="103"/>
      <c r="B41" s="103">
        <v>1</v>
      </c>
      <c r="C41" s="103"/>
      <c r="D41" s="103" t="s">
        <v>113</v>
      </c>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row>
    <row r="42" spans="1:30" ht="15.6" x14ac:dyDescent="0.3">
      <c r="A42" s="103"/>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row>
    <row r="43" spans="1:30" ht="15.6" x14ac:dyDescent="0.3">
      <c r="A43" s="103"/>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row>
    <row r="44" spans="1:30" ht="15.6" x14ac:dyDescent="0.3">
      <c r="A44" s="103"/>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row>
    <row r="45" spans="1:30" ht="15.6" x14ac:dyDescent="0.3">
      <c r="A45" s="103"/>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row>
    <row r="46" spans="1:30" ht="15.6" x14ac:dyDescent="0.3">
      <c r="A46" s="103"/>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row>
    <row r="47" spans="1:30" ht="15.6" x14ac:dyDescent="0.3">
      <c r="A47" s="103"/>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row>
    <row r="48" spans="1:30" ht="15.6" x14ac:dyDescent="0.3">
      <c r="A48" s="103"/>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row>
    <row r="49" spans="1:30" ht="15.6" x14ac:dyDescent="0.3">
      <c r="A49" s="103"/>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row>
    <row r="50" spans="1:30" ht="15.6" x14ac:dyDescent="0.3">
      <c r="A50" s="103"/>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row>
    <row r="51" spans="1:30" ht="15.6" x14ac:dyDescent="0.3">
      <c r="A51" s="103"/>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row>
    <row r="52" spans="1:30" ht="15.6" x14ac:dyDescent="0.3">
      <c r="A52" s="103"/>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row>
    <row r="53" spans="1:30" ht="15.6" x14ac:dyDescent="0.3">
      <c r="A53" s="103"/>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row>
    <row r="54" spans="1:30" ht="15.6" x14ac:dyDescent="0.3">
      <c r="A54" s="103"/>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row>
    <row r="55" spans="1:30" ht="15.6" x14ac:dyDescent="0.3">
      <c r="A55" s="103"/>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row>
  </sheetData>
  <mergeCells count="2">
    <mergeCell ref="B3:J3"/>
    <mergeCell ref="H39:I39"/>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showGridLines="0" topLeftCell="B4" zoomScale="70" zoomScaleNormal="70" workbookViewId="0">
      <selection activeCell="F56" sqref="F56"/>
    </sheetView>
  </sheetViews>
  <sheetFormatPr defaultRowHeight="14.4" x14ac:dyDescent="0.3"/>
  <cols>
    <col min="1" max="1" width="9.109375" style="102"/>
    <col min="4" max="4" width="10.6640625" bestFit="1" customWidth="1"/>
    <col min="5" max="9" width="11.109375" bestFit="1" customWidth="1"/>
  </cols>
  <sheetData>
    <row r="1" spans="1:21" ht="15.6" x14ac:dyDescent="0.3">
      <c r="B1" s="103"/>
      <c r="C1" s="103"/>
      <c r="D1" s="103"/>
      <c r="E1" s="103"/>
      <c r="F1" s="103"/>
      <c r="G1" s="103"/>
      <c r="H1" s="103"/>
      <c r="I1" s="103"/>
      <c r="J1" s="103"/>
      <c r="K1" s="103"/>
      <c r="L1" s="103"/>
      <c r="M1" s="103"/>
      <c r="N1" s="103"/>
      <c r="O1" s="103"/>
    </row>
    <row r="2" spans="1:21" ht="15.6" x14ac:dyDescent="0.3">
      <c r="D2" s="103"/>
      <c r="E2" s="103"/>
      <c r="F2" s="103"/>
      <c r="G2" s="103"/>
      <c r="H2" s="103"/>
      <c r="I2" s="103"/>
      <c r="J2" s="103"/>
      <c r="K2" s="103"/>
      <c r="L2" s="103"/>
      <c r="M2" s="103"/>
      <c r="N2" s="103"/>
      <c r="O2" s="103"/>
    </row>
    <row r="3" spans="1:21" ht="15.6" customHeight="1" x14ac:dyDescent="0.3">
      <c r="A3" s="103"/>
      <c r="B3" s="103"/>
      <c r="C3" s="592" t="s">
        <v>153</v>
      </c>
      <c r="D3" s="592"/>
      <c r="E3" s="592"/>
      <c r="F3" s="592"/>
      <c r="G3" s="368"/>
      <c r="H3" s="368"/>
      <c r="J3" s="103"/>
      <c r="K3" s="103"/>
      <c r="L3" s="103"/>
      <c r="M3" s="103"/>
      <c r="N3" s="103"/>
      <c r="O3" s="103"/>
    </row>
    <row r="4" spans="1:21" ht="15.6" customHeight="1" x14ac:dyDescent="0.3">
      <c r="A4" s="103" t="s">
        <v>365</v>
      </c>
      <c r="B4" s="139"/>
      <c r="C4" s="181">
        <v>0.06</v>
      </c>
      <c r="D4" s="181">
        <v>7.0000000000000007E-2</v>
      </c>
      <c r="E4" s="181">
        <v>0.08</v>
      </c>
      <c r="F4" s="181">
        <v>0.09</v>
      </c>
      <c r="G4" s="181">
        <v>0.1</v>
      </c>
      <c r="H4" s="181">
        <v>0.11</v>
      </c>
      <c r="I4" s="371"/>
      <c r="J4" s="372"/>
      <c r="K4" s="372"/>
      <c r="L4" s="372"/>
      <c r="M4" s="372"/>
      <c r="N4" s="372"/>
      <c r="O4" s="372"/>
      <c r="P4" s="371"/>
      <c r="Q4" s="371"/>
      <c r="R4" s="371"/>
      <c r="S4" s="371"/>
      <c r="T4" s="371"/>
      <c r="U4" s="371"/>
    </row>
    <row r="5" spans="1:21" ht="15.6" x14ac:dyDescent="0.3">
      <c r="A5" s="369">
        <v>2</v>
      </c>
      <c r="B5" s="108">
        <v>100</v>
      </c>
      <c r="C5" s="370">
        <v>3062</v>
      </c>
      <c r="D5" s="370">
        <v>3096</v>
      </c>
      <c r="E5" s="370">
        <v>3125</v>
      </c>
      <c r="F5" s="370">
        <v>3146</v>
      </c>
      <c r="G5" s="370">
        <v>3157</v>
      </c>
      <c r="H5" s="370">
        <v>3156</v>
      </c>
      <c r="I5" s="371"/>
      <c r="J5" s="372"/>
      <c r="K5" s="372"/>
      <c r="L5" s="372"/>
      <c r="M5" s="372"/>
      <c r="N5" s="372"/>
      <c r="O5" s="372"/>
      <c r="P5" s="371"/>
      <c r="Q5" s="371"/>
      <c r="R5" s="371"/>
      <c r="S5" s="371"/>
      <c r="T5" s="371"/>
      <c r="U5" s="371"/>
    </row>
    <row r="6" spans="1:21" ht="15.6" x14ac:dyDescent="0.3">
      <c r="A6" s="369">
        <v>2</v>
      </c>
      <c r="B6" s="108">
        <v>50</v>
      </c>
      <c r="C6" s="370">
        <v>3003</v>
      </c>
      <c r="D6" s="370">
        <v>3033</v>
      </c>
      <c r="E6" s="370">
        <v>3056</v>
      </c>
      <c r="F6" s="370">
        <v>3072</v>
      </c>
      <c r="G6" s="370">
        <v>3077</v>
      </c>
      <c r="H6" s="370">
        <v>3069</v>
      </c>
      <c r="I6" s="371"/>
      <c r="J6" s="372"/>
      <c r="K6" s="372"/>
      <c r="L6" s="372"/>
      <c r="M6" s="372"/>
      <c r="N6" s="372"/>
      <c r="O6" s="372"/>
      <c r="P6" s="371"/>
      <c r="Q6" s="371"/>
      <c r="R6" s="371"/>
      <c r="S6" s="371"/>
      <c r="T6" s="371"/>
      <c r="U6" s="371"/>
    </row>
    <row r="7" spans="1:21" ht="15.6" x14ac:dyDescent="0.3">
      <c r="A7" s="369">
        <v>2.25</v>
      </c>
      <c r="B7" s="108">
        <v>100</v>
      </c>
      <c r="C7" s="370">
        <v>2722</v>
      </c>
      <c r="D7" s="370">
        <v>2752</v>
      </c>
      <c r="E7" s="370">
        <v>2778</v>
      </c>
      <c r="F7" s="370">
        <v>2796</v>
      </c>
      <c r="G7" s="370">
        <v>2806</v>
      </c>
      <c r="H7" s="370">
        <v>2805</v>
      </c>
      <c r="I7" s="371"/>
      <c r="J7" s="372"/>
      <c r="K7" s="372"/>
      <c r="L7" s="372"/>
      <c r="M7" s="372"/>
      <c r="N7" s="372"/>
      <c r="O7" s="372"/>
      <c r="P7" s="371"/>
      <c r="Q7" s="371"/>
      <c r="R7" s="371"/>
      <c r="S7" s="371"/>
      <c r="T7" s="371"/>
      <c r="U7" s="371"/>
    </row>
    <row r="8" spans="1:21" ht="15.6" x14ac:dyDescent="0.3">
      <c r="A8" s="369">
        <v>2.25</v>
      </c>
      <c r="B8" s="108">
        <v>50</v>
      </c>
      <c r="C8" s="370">
        <v>2669</v>
      </c>
      <c r="D8" s="370">
        <v>2696</v>
      </c>
      <c r="E8" s="370">
        <v>2717</v>
      </c>
      <c r="F8" s="370">
        <v>2730</v>
      </c>
      <c r="G8" s="370">
        <v>2735</v>
      </c>
      <c r="H8" s="370">
        <v>2728</v>
      </c>
      <c r="I8" s="371"/>
      <c r="J8" s="372"/>
      <c r="K8" s="372"/>
      <c r="L8" s="372"/>
      <c r="M8" s="372"/>
      <c r="N8" s="372"/>
      <c r="O8" s="372"/>
      <c r="P8" s="371"/>
      <c r="Q8" s="371"/>
      <c r="R8" s="371"/>
      <c r="S8" s="371"/>
      <c r="T8" s="371"/>
      <c r="U8" s="371"/>
    </row>
    <row r="9" spans="1:21" ht="15.6" x14ac:dyDescent="0.3">
      <c r="A9" s="369">
        <v>2.5</v>
      </c>
      <c r="B9" s="108">
        <v>100</v>
      </c>
      <c r="C9" s="370">
        <v>2449</v>
      </c>
      <c r="D9" s="370">
        <v>2477</v>
      </c>
      <c r="E9" s="370">
        <v>2500</v>
      </c>
      <c r="F9" s="370">
        <v>2517</v>
      </c>
      <c r="G9" s="370">
        <v>2525</v>
      </c>
      <c r="H9" s="370">
        <v>2525</v>
      </c>
      <c r="I9" s="371"/>
      <c r="J9" s="372"/>
      <c r="K9" s="372"/>
      <c r="L9" s="372"/>
      <c r="M9" s="372"/>
      <c r="N9" s="372"/>
      <c r="O9" s="372"/>
      <c r="P9" s="371"/>
      <c r="Q9" s="371"/>
      <c r="R9" s="371"/>
      <c r="S9" s="371"/>
      <c r="T9" s="371"/>
      <c r="U9" s="371"/>
    </row>
    <row r="10" spans="1:21" ht="15.6" x14ac:dyDescent="0.3">
      <c r="A10" s="369">
        <v>2.5</v>
      </c>
      <c r="B10" s="108">
        <v>50</v>
      </c>
      <c r="C10" s="370">
        <v>2402</v>
      </c>
      <c r="D10" s="370">
        <v>2426</v>
      </c>
      <c r="E10" s="370">
        <v>2445</v>
      </c>
      <c r="F10" s="370">
        <v>2457</v>
      </c>
      <c r="G10" s="370">
        <v>2461</v>
      </c>
      <c r="H10" s="370">
        <v>2455</v>
      </c>
      <c r="I10" s="371"/>
      <c r="J10" s="372"/>
      <c r="K10" s="372"/>
      <c r="L10" s="372"/>
      <c r="M10" s="372"/>
      <c r="N10" s="372"/>
      <c r="O10" s="372"/>
      <c r="P10" s="371"/>
      <c r="Q10" s="371"/>
      <c r="R10" s="371"/>
      <c r="S10" s="371"/>
      <c r="T10" s="371"/>
      <c r="U10" s="371"/>
    </row>
    <row r="11" spans="1:21" ht="15.6" x14ac:dyDescent="0.3">
      <c r="A11" s="369">
        <v>2.75</v>
      </c>
      <c r="B11" s="108">
        <v>100</v>
      </c>
      <c r="C11" s="370">
        <v>2227</v>
      </c>
      <c r="D11" s="370">
        <v>2252</v>
      </c>
      <c r="E11" s="370">
        <v>2273</v>
      </c>
      <c r="F11" s="370">
        <v>2288</v>
      </c>
      <c r="G11" s="370">
        <v>2296</v>
      </c>
      <c r="H11" s="370">
        <v>2295</v>
      </c>
      <c r="I11" s="371"/>
      <c r="J11" s="372"/>
      <c r="K11" s="372"/>
      <c r="L11" s="372"/>
      <c r="M11" s="372"/>
      <c r="N11" s="372"/>
      <c r="O11" s="372"/>
      <c r="P11" s="371"/>
      <c r="Q11" s="371"/>
      <c r="R11" s="371"/>
      <c r="S11" s="371"/>
      <c r="T11" s="371"/>
      <c r="U11" s="371"/>
    </row>
    <row r="12" spans="1:21" ht="15.6" x14ac:dyDescent="0.3">
      <c r="A12" s="369">
        <v>2.75</v>
      </c>
      <c r="B12" s="108">
        <v>50</v>
      </c>
      <c r="C12" s="370">
        <v>2184</v>
      </c>
      <c r="D12" s="370">
        <v>2206</v>
      </c>
      <c r="E12" s="370">
        <v>2223</v>
      </c>
      <c r="F12" s="370">
        <v>2234</v>
      </c>
      <c r="G12" s="370">
        <v>2238</v>
      </c>
      <c r="H12" s="370">
        <v>2231</v>
      </c>
      <c r="I12" s="371"/>
      <c r="J12" s="372"/>
      <c r="K12" s="372"/>
      <c r="L12" s="372"/>
      <c r="M12" s="372"/>
      <c r="N12" s="372"/>
      <c r="O12" s="372"/>
      <c r="P12" s="371"/>
      <c r="Q12" s="371"/>
      <c r="R12" s="371"/>
      <c r="S12" s="371"/>
      <c r="T12" s="371"/>
      <c r="U12" s="371"/>
    </row>
    <row r="13" spans="1:21" ht="15.6" x14ac:dyDescent="0.3">
      <c r="B13" s="103"/>
      <c r="C13" s="103"/>
      <c r="D13" s="103"/>
      <c r="E13" s="103"/>
      <c r="F13" s="103"/>
      <c r="G13" s="103"/>
      <c r="H13" s="103"/>
      <c r="I13" s="372"/>
      <c r="J13" s="372"/>
      <c r="K13" s="372"/>
      <c r="L13" s="372"/>
      <c r="M13" s="372"/>
      <c r="N13" s="372"/>
      <c r="O13" s="372"/>
      <c r="P13" s="371"/>
      <c r="Q13" s="371"/>
      <c r="R13" s="371"/>
      <c r="S13" s="371"/>
      <c r="T13" s="371"/>
      <c r="U13" s="371"/>
    </row>
    <row r="14" spans="1:21" ht="15.6" x14ac:dyDescent="0.3">
      <c r="I14" s="372"/>
      <c r="J14" s="372"/>
      <c r="K14" s="372"/>
      <c r="L14" s="372"/>
      <c r="M14" s="372"/>
      <c r="N14" s="372"/>
      <c r="O14" s="372"/>
      <c r="P14" s="371"/>
      <c r="Q14" s="371"/>
      <c r="R14" s="371"/>
      <c r="S14" s="371"/>
      <c r="T14" s="371"/>
      <c r="U14" s="371"/>
    </row>
    <row r="15" spans="1:21" ht="15.6" x14ac:dyDescent="0.3">
      <c r="A15" s="103"/>
      <c r="I15" s="372"/>
      <c r="J15" s="372"/>
      <c r="K15" s="372"/>
      <c r="L15" s="372"/>
      <c r="M15" s="372"/>
      <c r="N15" s="372"/>
      <c r="O15" s="372"/>
      <c r="P15" s="371"/>
      <c r="Q15" s="371"/>
      <c r="R15" s="371"/>
      <c r="S15" s="371"/>
      <c r="T15" s="371"/>
      <c r="U15" s="371"/>
    </row>
    <row r="16" spans="1:21" ht="15.6" x14ac:dyDescent="0.3">
      <c r="I16" s="372"/>
      <c r="J16" s="372"/>
      <c r="K16" s="372"/>
      <c r="L16" s="372"/>
      <c r="M16" s="372"/>
      <c r="N16" s="372"/>
      <c r="O16" s="372"/>
      <c r="P16" s="371"/>
      <c r="Q16" s="371"/>
      <c r="R16" s="371"/>
      <c r="S16" s="371"/>
      <c r="T16" s="371"/>
      <c r="U16" s="371"/>
    </row>
    <row r="17" spans="2:21" ht="15.6" x14ac:dyDescent="0.3">
      <c r="I17" s="372"/>
      <c r="J17" s="372"/>
      <c r="K17" s="372"/>
      <c r="L17" s="372"/>
      <c r="M17" s="372"/>
      <c r="N17" s="372"/>
      <c r="O17" s="372"/>
      <c r="P17" s="371"/>
      <c r="Q17" s="371"/>
      <c r="R17" s="371"/>
      <c r="S17" s="371"/>
      <c r="T17" s="371"/>
      <c r="U17" s="371"/>
    </row>
    <row r="18" spans="2:21" ht="15.6" x14ac:dyDescent="0.3">
      <c r="I18" s="372"/>
      <c r="J18" s="372"/>
      <c r="K18" s="372"/>
      <c r="L18" s="372"/>
      <c r="M18" s="372"/>
      <c r="N18" s="372"/>
      <c r="O18" s="372"/>
      <c r="P18" s="371"/>
      <c r="Q18" s="371"/>
      <c r="R18" s="371"/>
      <c r="S18" s="371"/>
      <c r="T18" s="371"/>
      <c r="U18" s="371"/>
    </row>
    <row r="19" spans="2:21" ht="15.6" x14ac:dyDescent="0.3">
      <c r="I19" s="372"/>
      <c r="J19" s="372"/>
      <c r="K19" s="372"/>
      <c r="L19" s="372"/>
      <c r="M19" s="372"/>
      <c r="N19" s="372"/>
      <c r="O19" s="372"/>
      <c r="P19" s="371"/>
      <c r="Q19" s="371"/>
      <c r="R19" s="371"/>
      <c r="S19" s="371"/>
      <c r="T19" s="371"/>
      <c r="U19" s="371"/>
    </row>
    <row r="20" spans="2:21" ht="15.6" x14ac:dyDescent="0.3">
      <c r="I20" s="372"/>
      <c r="J20" s="372"/>
      <c r="K20" s="372"/>
      <c r="L20" s="372"/>
      <c r="M20" s="372"/>
      <c r="N20" s="372"/>
      <c r="O20" s="372"/>
      <c r="P20" s="371"/>
      <c r="Q20" s="371"/>
      <c r="R20" s="371"/>
      <c r="S20" s="371"/>
      <c r="T20" s="371"/>
      <c r="U20" s="371"/>
    </row>
    <row r="21" spans="2:21" ht="15.6" x14ac:dyDescent="0.3">
      <c r="I21" s="372"/>
      <c r="J21" s="372"/>
      <c r="K21" s="372"/>
      <c r="L21" s="372"/>
      <c r="M21" s="372"/>
      <c r="N21" s="372"/>
      <c r="O21" s="372"/>
      <c r="P21" s="371"/>
      <c r="Q21" s="371"/>
      <c r="R21" s="371"/>
      <c r="S21" s="371"/>
      <c r="T21" s="371"/>
      <c r="U21" s="371"/>
    </row>
    <row r="22" spans="2:21" ht="15.6" x14ac:dyDescent="0.3">
      <c r="I22" s="372"/>
      <c r="J22" s="372"/>
      <c r="K22" s="372"/>
      <c r="L22" s="372"/>
      <c r="M22" s="372"/>
      <c r="N22" s="372"/>
      <c r="O22" s="372"/>
      <c r="P22" s="371"/>
      <c r="Q22" s="371"/>
      <c r="R22" s="371"/>
      <c r="S22" s="371"/>
      <c r="T22" s="371"/>
      <c r="U22" s="371"/>
    </row>
    <row r="23" spans="2:21" ht="15.6" x14ac:dyDescent="0.3">
      <c r="I23" s="372"/>
      <c r="J23" s="372"/>
      <c r="K23" s="372"/>
      <c r="L23" s="372"/>
      <c r="M23" s="372"/>
      <c r="N23" s="372"/>
      <c r="O23" s="372"/>
      <c r="P23" s="371"/>
      <c r="Q23" s="371"/>
      <c r="R23" s="371"/>
      <c r="S23" s="371"/>
      <c r="T23" s="371"/>
      <c r="U23" s="371"/>
    </row>
    <row r="24" spans="2:21" ht="15.6" x14ac:dyDescent="0.3">
      <c r="I24" s="372"/>
      <c r="J24" s="372"/>
      <c r="K24" s="372"/>
      <c r="L24" s="372"/>
      <c r="M24" s="372"/>
      <c r="N24" s="372"/>
      <c r="O24" s="372"/>
      <c r="P24" s="371"/>
      <c r="Q24" s="371"/>
      <c r="R24" s="371"/>
      <c r="S24" s="371"/>
      <c r="T24" s="371"/>
      <c r="U24" s="371"/>
    </row>
    <row r="25" spans="2:21" ht="15.6" x14ac:dyDescent="0.3">
      <c r="I25" s="372"/>
      <c r="J25" s="372"/>
      <c r="K25" s="372"/>
      <c r="L25" s="372"/>
      <c r="M25" s="372"/>
      <c r="N25" s="372"/>
      <c r="O25" s="372"/>
      <c r="P25" s="371"/>
      <c r="Q25" s="371"/>
      <c r="R25" s="371"/>
      <c r="S25" s="371"/>
      <c r="T25" s="371"/>
      <c r="U25" s="371"/>
    </row>
    <row r="26" spans="2:21" ht="15.6" x14ac:dyDescent="0.3">
      <c r="B26" s="103"/>
      <c r="C26" s="103"/>
      <c r="D26" s="103"/>
      <c r="E26" s="103"/>
      <c r="F26" s="103"/>
      <c r="G26" s="103"/>
      <c r="H26" s="103"/>
      <c r="I26" s="372"/>
      <c r="J26" s="372"/>
      <c r="K26" s="372"/>
      <c r="L26" s="372"/>
      <c r="M26" s="372"/>
      <c r="N26" s="372"/>
      <c r="O26" s="372"/>
      <c r="P26" s="371"/>
      <c r="Q26" s="371"/>
      <c r="R26" s="371"/>
      <c r="S26" s="371"/>
      <c r="T26" s="371"/>
      <c r="U26" s="371"/>
    </row>
    <row r="27" spans="2:21" ht="15.6" x14ac:dyDescent="0.3">
      <c r="B27" s="103"/>
      <c r="C27" s="103"/>
      <c r="D27" s="103"/>
      <c r="E27" s="103"/>
      <c r="F27" s="103"/>
      <c r="G27" s="103"/>
      <c r="H27" s="103"/>
      <c r="I27" s="372"/>
      <c r="J27" s="372"/>
      <c r="K27" s="372"/>
      <c r="L27" s="372"/>
      <c r="M27" s="372"/>
      <c r="N27" s="372"/>
      <c r="O27" s="372"/>
      <c r="P27" s="371"/>
      <c r="Q27" s="371"/>
      <c r="R27" s="371"/>
      <c r="S27" s="371"/>
      <c r="T27" s="371"/>
      <c r="U27" s="371"/>
    </row>
    <row r="28" spans="2:21" ht="15.6" x14ac:dyDescent="0.3">
      <c r="B28" s="103"/>
      <c r="C28" s="103"/>
      <c r="D28" s="103"/>
      <c r="E28" s="103"/>
      <c r="F28" s="103"/>
      <c r="G28" s="103"/>
      <c r="H28" s="103"/>
      <c r="I28" s="372"/>
      <c r="J28" s="372"/>
      <c r="K28" s="372"/>
      <c r="L28" s="372"/>
      <c r="M28" s="372"/>
      <c r="N28" s="372"/>
      <c r="O28" s="372"/>
      <c r="P28" s="371"/>
      <c r="Q28" s="371"/>
      <c r="R28" s="371"/>
      <c r="S28" s="371"/>
      <c r="T28" s="371"/>
      <c r="U28" s="371"/>
    </row>
    <row r="29" spans="2:21" ht="15.6" x14ac:dyDescent="0.3">
      <c r="B29" s="103"/>
      <c r="C29" s="103"/>
      <c r="D29" s="103"/>
      <c r="E29" s="103"/>
      <c r="F29" s="103"/>
      <c r="G29" s="103"/>
      <c r="H29" s="103"/>
      <c r="I29" s="103"/>
      <c r="J29" s="103"/>
      <c r="K29" s="103"/>
      <c r="L29" s="103"/>
      <c r="M29" s="103"/>
      <c r="N29" s="103"/>
      <c r="O29" s="103"/>
    </row>
    <row r="30" spans="2:21" ht="15.6" x14ac:dyDescent="0.3">
      <c r="B30" s="103"/>
      <c r="C30" s="103"/>
      <c r="D30" s="103"/>
      <c r="E30" s="103"/>
      <c r="F30" s="103"/>
      <c r="G30" s="103"/>
      <c r="H30" s="103"/>
      <c r="I30" s="103"/>
      <c r="J30" s="103"/>
      <c r="K30" s="103"/>
      <c r="L30" s="103"/>
      <c r="M30" s="103"/>
      <c r="N30" s="103"/>
      <c r="O30" s="103"/>
    </row>
    <row r="43" spans="2:8" ht="17.399999999999999" x14ac:dyDescent="0.3">
      <c r="B43" s="103"/>
      <c r="C43" s="103"/>
      <c r="D43" s="595" t="s">
        <v>367</v>
      </c>
      <c r="E43" s="595"/>
      <c r="F43" s="595"/>
      <c r="G43" s="595"/>
      <c r="H43" s="103"/>
    </row>
    <row r="44" spans="2:8" ht="15.6" x14ac:dyDescent="0.3">
      <c r="B44" s="103"/>
      <c r="C44" s="592" t="s">
        <v>153</v>
      </c>
      <c r="D44" s="592"/>
      <c r="E44" s="592"/>
      <c r="F44" s="592"/>
      <c r="G44" s="592"/>
      <c r="H44" s="368"/>
    </row>
    <row r="45" spans="2:8" ht="15.6" x14ac:dyDescent="0.3">
      <c r="B45" s="103"/>
      <c r="C45" s="181">
        <v>0.06</v>
      </c>
      <c r="D45" s="181">
        <v>0.08</v>
      </c>
      <c r="E45" s="181">
        <v>0.1</v>
      </c>
      <c r="F45" s="181">
        <v>0.12</v>
      </c>
      <c r="G45" s="181">
        <v>0.14000000000000001</v>
      </c>
      <c r="H45" s="181">
        <v>0.16</v>
      </c>
    </row>
    <row r="46" spans="2:8" ht="15.6" x14ac:dyDescent="0.3">
      <c r="B46" s="369">
        <v>2</v>
      </c>
      <c r="C46" s="370">
        <v>2688</v>
      </c>
      <c r="D46" s="370">
        <v>3027</v>
      </c>
      <c r="E46" s="370">
        <v>3439</v>
      </c>
      <c r="F46" s="370">
        <v>3933</v>
      </c>
      <c r="G46" s="370">
        <v>4522</v>
      </c>
      <c r="H46" s="370">
        <v>5218</v>
      </c>
    </row>
    <row r="47" spans="2:8" ht="15.6" x14ac:dyDescent="0.3">
      <c r="B47" s="369">
        <v>2.25</v>
      </c>
      <c r="C47" s="370">
        <v>2389</v>
      </c>
      <c r="D47" s="370">
        <v>2691</v>
      </c>
      <c r="E47" s="370">
        <v>3057</v>
      </c>
      <c r="F47" s="370">
        <v>3496</v>
      </c>
      <c r="G47" s="370">
        <v>4019</v>
      </c>
      <c r="H47" s="370">
        <v>4638</v>
      </c>
    </row>
    <row r="48" spans="2:8" ht="15.6" x14ac:dyDescent="0.3">
      <c r="B48" s="369">
        <v>2.5</v>
      </c>
      <c r="C48" s="370">
        <v>2150</v>
      </c>
      <c r="D48" s="370">
        <v>2422</v>
      </c>
      <c r="E48" s="370">
        <v>2751</v>
      </c>
      <c r="F48" s="370">
        <v>3146</v>
      </c>
      <c r="G48" s="370">
        <v>3617</v>
      </c>
      <c r="H48" s="370">
        <v>4174</v>
      </c>
    </row>
    <row r="49" spans="2:8" ht="15.6" x14ac:dyDescent="0.3">
      <c r="B49" s="369">
        <v>2.75</v>
      </c>
      <c r="C49" s="370">
        <v>1955</v>
      </c>
      <c r="D49" s="370">
        <v>2202</v>
      </c>
      <c r="E49" s="370">
        <v>2501</v>
      </c>
      <c r="F49" s="370">
        <v>2860</v>
      </c>
      <c r="G49" s="370">
        <v>3289</v>
      </c>
      <c r="H49" s="370">
        <v>3795</v>
      </c>
    </row>
    <row r="50" spans="2:8" ht="15.6" x14ac:dyDescent="0.3">
      <c r="B50" s="103"/>
      <c r="C50" s="103"/>
      <c r="D50" s="103"/>
      <c r="E50" s="103"/>
      <c r="F50" s="103"/>
      <c r="G50" s="103"/>
      <c r="H50" s="103"/>
    </row>
  </sheetData>
  <mergeCells count="3">
    <mergeCell ref="D43:G43"/>
    <mergeCell ref="C44:G44"/>
    <mergeCell ref="C3:F3"/>
  </mergeCell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
  <sheetViews>
    <sheetView workbookViewId="0">
      <selection activeCell="H5" sqref="H5"/>
    </sheetView>
  </sheetViews>
  <sheetFormatPr defaultRowHeight="14.4" x14ac:dyDescent="0.3"/>
  <sheetData>
    <row r="1" spans="1:10" ht="18" x14ac:dyDescent="0.35">
      <c r="A1" s="596"/>
      <c r="B1" s="596"/>
      <c r="C1" s="596"/>
      <c r="D1" s="596"/>
      <c r="E1" s="596"/>
      <c r="F1" s="596"/>
      <c r="G1" s="596"/>
      <c r="H1" s="596"/>
      <c r="I1" s="596"/>
      <c r="J1" s="596"/>
    </row>
  </sheetData>
  <mergeCells count="1">
    <mergeCell ref="A1:J1"/>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1"/>
  <sheetViews>
    <sheetView topLeftCell="A2" workbookViewId="0">
      <selection activeCell="J20" sqref="J20"/>
    </sheetView>
  </sheetViews>
  <sheetFormatPr defaultRowHeight="14.4" x14ac:dyDescent="0.3"/>
  <cols>
    <col min="2" max="2" width="24.44140625" bestFit="1" customWidth="1"/>
    <col min="3" max="3" width="13.33203125" bestFit="1" customWidth="1"/>
    <col min="4" max="4" width="16.109375" bestFit="1" customWidth="1"/>
    <col min="5" max="5" width="16.44140625" bestFit="1" customWidth="1"/>
    <col min="6" max="6" width="14" bestFit="1" customWidth="1"/>
    <col min="8" max="9" width="10.109375" bestFit="1" customWidth="1"/>
    <col min="10" max="10" width="7.5546875" bestFit="1" customWidth="1"/>
  </cols>
  <sheetData>
    <row r="1" spans="2:6" x14ac:dyDescent="0.3">
      <c r="B1" t="s">
        <v>210</v>
      </c>
    </row>
    <row r="2" spans="2:6" x14ac:dyDescent="0.3">
      <c r="B2" t="s">
        <v>208</v>
      </c>
    </row>
    <row r="4" spans="2:6" x14ac:dyDescent="0.3">
      <c r="B4" t="s">
        <v>194</v>
      </c>
      <c r="C4" t="s">
        <v>195</v>
      </c>
      <c r="D4" t="s">
        <v>196</v>
      </c>
      <c r="E4" t="s">
        <v>211</v>
      </c>
    </row>
    <row r="5" spans="2:6" x14ac:dyDescent="0.3">
      <c r="B5" s="188">
        <v>400000</v>
      </c>
      <c r="C5" s="3">
        <v>0.05</v>
      </c>
      <c r="D5">
        <v>15</v>
      </c>
      <c r="E5">
        <v>200</v>
      </c>
    </row>
    <row r="6" spans="2:6" x14ac:dyDescent="0.3">
      <c r="D6" t="s">
        <v>209</v>
      </c>
    </row>
    <row r="7" spans="2:6" x14ac:dyDescent="0.3">
      <c r="B7" t="s">
        <v>197</v>
      </c>
    </row>
    <row r="8" spans="2:6" x14ac:dyDescent="0.3">
      <c r="B8" t="s">
        <v>198</v>
      </c>
      <c r="C8" t="s">
        <v>199</v>
      </c>
      <c r="D8" t="s">
        <v>200</v>
      </c>
      <c r="E8" t="s">
        <v>201</v>
      </c>
      <c r="F8" t="s">
        <v>202</v>
      </c>
    </row>
    <row r="9" spans="2:6" x14ac:dyDescent="0.3">
      <c r="B9">
        <v>1</v>
      </c>
      <c r="C9" s="188">
        <f t="shared" ref="C9:C68" si="0">PMT($C$5/12,$D$5*12,$B$5,0)*-1</f>
        <v>3163.1745069661783</v>
      </c>
      <c r="D9" s="188">
        <f t="shared" ref="D9:D68" si="1">C9-E9</f>
        <v>1666.6666666666665</v>
      </c>
      <c r="E9" s="188">
        <f t="shared" ref="E9:E68" si="2">PPMT($C$5/12,B9,$D$5*12,$B$5,0)*-1</f>
        <v>1496.5078402995118</v>
      </c>
      <c r="F9" s="188">
        <f>B5-E9</f>
        <v>398503.49215970049</v>
      </c>
    </row>
    <row r="10" spans="2:6" x14ac:dyDescent="0.3">
      <c r="B10">
        <v>2</v>
      </c>
      <c r="C10" s="188">
        <f t="shared" si="0"/>
        <v>3163.1745069661783</v>
      </c>
      <c r="D10" s="188">
        <f t="shared" si="1"/>
        <v>1660.4312173320852</v>
      </c>
      <c r="E10" s="188">
        <f t="shared" si="2"/>
        <v>1502.7432896340931</v>
      </c>
      <c r="F10" s="188">
        <f>B5-SUM($E$9:E10)</f>
        <v>397000.74887006637</v>
      </c>
    </row>
    <row r="11" spans="2:6" x14ac:dyDescent="0.3">
      <c r="B11">
        <v>3</v>
      </c>
      <c r="C11" s="188">
        <f t="shared" si="0"/>
        <v>3163.1745069661783</v>
      </c>
      <c r="D11" s="188">
        <f t="shared" si="1"/>
        <v>1654.1697869586101</v>
      </c>
      <c r="E11" s="188">
        <f t="shared" si="2"/>
        <v>1509.0047200075683</v>
      </c>
      <c r="F11" s="188">
        <f>B5-SUM($E$9:E11)</f>
        <v>395491.74415005883</v>
      </c>
    </row>
    <row r="12" spans="2:6" x14ac:dyDescent="0.3">
      <c r="B12">
        <v>4</v>
      </c>
      <c r="C12" s="188">
        <f t="shared" si="0"/>
        <v>3163.1745069661783</v>
      </c>
      <c r="D12" s="188">
        <f t="shared" si="1"/>
        <v>1647.8822672919118</v>
      </c>
      <c r="E12" s="188">
        <f t="shared" si="2"/>
        <v>1515.2922396742665</v>
      </c>
      <c r="F12" s="188">
        <f>B5-SUM($E$9:E12)</f>
        <v>393976.45191038458</v>
      </c>
    </row>
    <row r="13" spans="2:6" x14ac:dyDescent="0.3">
      <c r="B13">
        <v>5</v>
      </c>
      <c r="C13" s="188">
        <f t="shared" si="0"/>
        <v>3163.1745069661783</v>
      </c>
      <c r="D13" s="188">
        <f t="shared" si="1"/>
        <v>1641.5685496266024</v>
      </c>
      <c r="E13" s="188">
        <f t="shared" si="2"/>
        <v>1521.605957339576</v>
      </c>
      <c r="F13" s="188">
        <f>B5-SUM($E$9:E13)</f>
        <v>392454.84595304501</v>
      </c>
    </row>
    <row r="14" spans="2:6" x14ac:dyDescent="0.3">
      <c r="B14">
        <v>6</v>
      </c>
      <c r="C14" s="188">
        <f t="shared" si="0"/>
        <v>3163.1745069661783</v>
      </c>
      <c r="D14" s="188">
        <f t="shared" si="1"/>
        <v>1635.228524804354</v>
      </c>
      <c r="E14" s="188">
        <f t="shared" si="2"/>
        <v>1527.9459821618243</v>
      </c>
      <c r="F14" s="188">
        <f>B5-SUM($E$9:E14)</f>
        <v>390926.89997088315</v>
      </c>
    </row>
    <row r="15" spans="2:6" x14ac:dyDescent="0.3">
      <c r="B15">
        <v>7</v>
      </c>
      <c r="C15" s="188">
        <f t="shared" si="0"/>
        <v>3163.1745069661783</v>
      </c>
      <c r="D15" s="188">
        <f t="shared" si="1"/>
        <v>1628.8620832120132</v>
      </c>
      <c r="E15" s="188">
        <f t="shared" si="2"/>
        <v>1534.3124237541651</v>
      </c>
      <c r="F15" s="188">
        <f>B5-SUM($E$9:E15)</f>
        <v>389392.58754712902</v>
      </c>
    </row>
    <row r="16" spans="2:6" x14ac:dyDescent="0.3">
      <c r="B16">
        <v>8</v>
      </c>
      <c r="C16" s="188">
        <f t="shared" si="0"/>
        <v>3163.1745069661783</v>
      </c>
      <c r="D16" s="188">
        <f t="shared" si="1"/>
        <v>1622.4691147797041</v>
      </c>
      <c r="E16" s="188">
        <f t="shared" si="2"/>
        <v>1540.7053921864742</v>
      </c>
      <c r="F16" s="188">
        <f>B5-SUM($E$9:E16)</f>
        <v>387851.88215494255</v>
      </c>
    </row>
    <row r="17" spans="2:10" x14ac:dyDescent="0.3">
      <c r="B17">
        <v>9</v>
      </c>
      <c r="C17" s="188">
        <f t="shared" si="0"/>
        <v>3163.1745069661783</v>
      </c>
      <c r="D17" s="188">
        <f t="shared" si="1"/>
        <v>1616.0495089789272</v>
      </c>
      <c r="E17" s="188">
        <f t="shared" si="2"/>
        <v>1547.1249979872512</v>
      </c>
      <c r="F17" s="188">
        <f>B5-SUM($E$9:E17)</f>
        <v>386304.75715695525</v>
      </c>
    </row>
    <row r="18" spans="2:10" x14ac:dyDescent="0.3">
      <c r="B18">
        <v>10</v>
      </c>
      <c r="C18" s="188">
        <f t="shared" si="0"/>
        <v>3163.1745069661783</v>
      </c>
      <c r="D18" s="188">
        <f t="shared" si="1"/>
        <v>1609.6031548206468</v>
      </c>
      <c r="E18" s="188">
        <f t="shared" si="2"/>
        <v>1553.5713521455316</v>
      </c>
      <c r="F18" s="188">
        <f>B5-SUM($E$9:E18)</f>
        <v>384751.18580480973</v>
      </c>
    </row>
    <row r="19" spans="2:10" x14ac:dyDescent="0.3">
      <c r="B19">
        <v>11</v>
      </c>
      <c r="C19" s="188">
        <f t="shared" si="0"/>
        <v>3163.1745069661783</v>
      </c>
      <c r="D19" s="188">
        <f t="shared" si="1"/>
        <v>1603.1299408533739</v>
      </c>
      <c r="E19" s="188">
        <f t="shared" si="2"/>
        <v>1560.0445661128044</v>
      </c>
      <c r="F19" s="188">
        <f>B5-SUM($E$9:E19)</f>
        <v>383191.14123869693</v>
      </c>
    </row>
    <row r="20" spans="2:10" x14ac:dyDescent="0.3">
      <c r="B20">
        <v>12</v>
      </c>
      <c r="C20" s="188">
        <f t="shared" si="0"/>
        <v>3163.1745069661783</v>
      </c>
      <c r="D20" s="188">
        <f t="shared" si="1"/>
        <v>1596.6297551612372</v>
      </c>
      <c r="E20" s="188">
        <f t="shared" si="2"/>
        <v>1566.5447518049411</v>
      </c>
      <c r="F20" s="188">
        <f>$B$5-SUM($E$9:E20)</f>
        <v>381624.59648689197</v>
      </c>
      <c r="G20" t="s">
        <v>203</v>
      </c>
      <c r="H20" s="187">
        <f>SUM(D9:D20)</f>
        <v>19582.690570486131</v>
      </c>
      <c r="I20" s="187">
        <f>SUM(E9:E20)</f>
        <v>18375.403513108005</v>
      </c>
      <c r="J20" s="187">
        <f>SUM(H20:I20)/E5</f>
        <v>189.79047041797068</v>
      </c>
    </row>
    <row r="21" spans="2:10" x14ac:dyDescent="0.3">
      <c r="B21">
        <v>13</v>
      </c>
      <c r="C21" s="188">
        <f t="shared" si="0"/>
        <v>3163.1745069661783</v>
      </c>
      <c r="D21" s="188">
        <f t="shared" si="1"/>
        <v>1590.1024853620502</v>
      </c>
      <c r="E21" s="188">
        <f t="shared" si="2"/>
        <v>1573.0720216041282</v>
      </c>
      <c r="F21" s="188">
        <f>$B$5-SUM($E$9:E21)</f>
        <v>380051.52446528786</v>
      </c>
    </row>
    <row r="22" spans="2:10" x14ac:dyDescent="0.3">
      <c r="B22">
        <v>14</v>
      </c>
      <c r="C22" s="188">
        <f t="shared" si="0"/>
        <v>3163.1745069661783</v>
      </c>
      <c r="D22" s="188">
        <f t="shared" si="1"/>
        <v>1583.548018605366</v>
      </c>
      <c r="E22" s="188">
        <f t="shared" si="2"/>
        <v>1579.6264883608123</v>
      </c>
      <c r="F22" s="188">
        <f>$B$5-SUM($E$9:E22)</f>
        <v>378471.89797692705</v>
      </c>
    </row>
    <row r="23" spans="2:10" x14ac:dyDescent="0.3">
      <c r="B23">
        <v>15</v>
      </c>
      <c r="C23" s="188">
        <f t="shared" si="0"/>
        <v>3163.1745069661783</v>
      </c>
      <c r="D23" s="188">
        <f t="shared" si="1"/>
        <v>1576.9662415705295</v>
      </c>
      <c r="E23" s="188">
        <f t="shared" si="2"/>
        <v>1586.2082653956488</v>
      </c>
      <c r="F23" s="188">
        <f>$B$5-SUM($E$9:E23)</f>
        <v>376885.68971153139</v>
      </c>
    </row>
    <row r="24" spans="2:10" x14ac:dyDescent="0.3">
      <c r="B24">
        <v>16</v>
      </c>
      <c r="C24" s="188">
        <f t="shared" si="0"/>
        <v>3163.1745069661783</v>
      </c>
      <c r="D24" s="188">
        <f t="shared" si="1"/>
        <v>1570.3570404647144</v>
      </c>
      <c r="E24" s="188">
        <f t="shared" si="2"/>
        <v>1592.817466501464</v>
      </c>
      <c r="F24" s="188">
        <f>$B$5-SUM($E$9:E24)</f>
        <v>375292.87224502995</v>
      </c>
    </row>
    <row r="25" spans="2:10" x14ac:dyDescent="0.3">
      <c r="B25">
        <v>17</v>
      </c>
      <c r="C25" s="188">
        <f t="shared" si="0"/>
        <v>3163.1745069661783</v>
      </c>
      <c r="D25" s="188">
        <f t="shared" si="1"/>
        <v>1563.720301020958</v>
      </c>
      <c r="E25" s="188">
        <f t="shared" si="2"/>
        <v>1599.4542059452203</v>
      </c>
      <c r="F25" s="188">
        <f>$B$5-SUM($E$9:E25)</f>
        <v>373693.4180390847</v>
      </c>
    </row>
    <row r="26" spans="2:10" x14ac:dyDescent="0.3">
      <c r="B26">
        <v>18</v>
      </c>
      <c r="C26" s="188">
        <f t="shared" si="0"/>
        <v>3163.1745069661783</v>
      </c>
      <c r="D26" s="188">
        <f t="shared" si="1"/>
        <v>1557.0559084961862</v>
      </c>
      <c r="E26" s="188">
        <f t="shared" si="2"/>
        <v>1606.1185984699921</v>
      </c>
      <c r="F26" s="188">
        <f>$B$5-SUM($E$9:E26)</f>
        <v>372087.2994406147</v>
      </c>
    </row>
    <row r="27" spans="2:10" x14ac:dyDescent="0.3">
      <c r="B27">
        <v>19</v>
      </c>
      <c r="C27" s="188">
        <f t="shared" si="0"/>
        <v>3163.1745069661783</v>
      </c>
      <c r="D27" s="188">
        <f t="shared" si="1"/>
        <v>1550.3637476692279</v>
      </c>
      <c r="E27" s="188">
        <f t="shared" si="2"/>
        <v>1612.8107592969504</v>
      </c>
      <c r="F27" s="188">
        <f>$B$5-SUM($E$9:E27)</f>
        <v>370474.48868131777</v>
      </c>
    </row>
    <row r="28" spans="2:10" x14ac:dyDescent="0.3">
      <c r="B28">
        <v>20</v>
      </c>
      <c r="C28" s="188">
        <f t="shared" si="0"/>
        <v>3163.1745069661783</v>
      </c>
      <c r="D28" s="188">
        <f t="shared" si="1"/>
        <v>1543.6437028388243</v>
      </c>
      <c r="E28" s="188">
        <f t="shared" si="2"/>
        <v>1619.530804127354</v>
      </c>
      <c r="F28" s="188">
        <f>$B$5-SUM($E$9:E28)</f>
        <v>368854.95787719043</v>
      </c>
    </row>
    <row r="29" spans="2:10" x14ac:dyDescent="0.3">
      <c r="B29">
        <v>21</v>
      </c>
      <c r="C29" s="188">
        <f t="shared" si="0"/>
        <v>3163.1745069661783</v>
      </c>
      <c r="D29" s="188">
        <f t="shared" si="1"/>
        <v>1536.8956578216266</v>
      </c>
      <c r="E29" s="188">
        <f t="shared" si="2"/>
        <v>1626.2788491445517</v>
      </c>
      <c r="F29" s="188">
        <f>$B$5-SUM($E$9:E29)</f>
        <v>367228.67902804585</v>
      </c>
    </row>
    <row r="30" spans="2:10" x14ac:dyDescent="0.3">
      <c r="B30">
        <v>22</v>
      </c>
      <c r="C30" s="188">
        <f t="shared" si="0"/>
        <v>3163.1745069661783</v>
      </c>
      <c r="D30" s="188">
        <f t="shared" si="1"/>
        <v>1530.1194959501911</v>
      </c>
      <c r="E30" s="188">
        <f t="shared" si="2"/>
        <v>1633.0550110159872</v>
      </c>
      <c r="F30" s="188">
        <f>$B$5-SUM($E$9:E30)</f>
        <v>365595.62401702988</v>
      </c>
    </row>
    <row r="31" spans="2:10" x14ac:dyDescent="0.3">
      <c r="B31">
        <v>23</v>
      </c>
      <c r="C31" s="188">
        <f t="shared" si="0"/>
        <v>3163.1745069661783</v>
      </c>
      <c r="D31" s="188">
        <f t="shared" si="1"/>
        <v>1523.3151000709579</v>
      </c>
      <c r="E31" s="188">
        <f t="shared" si="2"/>
        <v>1639.8594068952204</v>
      </c>
      <c r="F31" s="188">
        <f>$B$5-SUM($E$9:E31)</f>
        <v>363955.76461013465</v>
      </c>
    </row>
    <row r="32" spans="2:10" x14ac:dyDescent="0.3">
      <c r="B32">
        <v>24</v>
      </c>
      <c r="C32" s="188">
        <f t="shared" si="0"/>
        <v>3163.1745069661783</v>
      </c>
      <c r="D32" s="188">
        <f t="shared" si="1"/>
        <v>1516.4823525422278</v>
      </c>
      <c r="E32" s="188">
        <f t="shared" si="2"/>
        <v>1646.6921544239506</v>
      </c>
      <c r="F32" s="188">
        <f>$B$5-SUM($E$9:E32)</f>
        <v>362309.07245571073</v>
      </c>
      <c r="G32" t="s">
        <v>245</v>
      </c>
      <c r="H32" s="188">
        <f>SUM(D21:D32)</f>
        <v>18642.570052412862</v>
      </c>
      <c r="I32" s="188">
        <f>SUM(E21:E32)</f>
        <v>19315.524031181281</v>
      </c>
      <c r="J32" s="187">
        <f>SUM(H32:I32)/E5</f>
        <v>189.79047041797071</v>
      </c>
    </row>
    <row r="33" spans="2:6" x14ac:dyDescent="0.3">
      <c r="B33">
        <v>25</v>
      </c>
      <c r="C33" s="188">
        <f t="shared" si="0"/>
        <v>3163.1745069661783</v>
      </c>
      <c r="D33" s="188">
        <f t="shared" si="1"/>
        <v>1509.6211352321277</v>
      </c>
      <c r="E33" s="188">
        <f t="shared" si="2"/>
        <v>1653.5533717340506</v>
      </c>
      <c r="F33" s="188">
        <f>$B$5-SUM($E$9:E33)</f>
        <v>360655.51908397663</v>
      </c>
    </row>
    <row r="34" spans="2:6" x14ac:dyDescent="0.3">
      <c r="B34">
        <v>26</v>
      </c>
      <c r="C34" s="188">
        <f t="shared" si="0"/>
        <v>3163.1745069661783</v>
      </c>
      <c r="D34" s="188">
        <f t="shared" si="1"/>
        <v>1502.7313295165693</v>
      </c>
      <c r="E34" s="188">
        <f t="shared" si="2"/>
        <v>1660.443177449609</v>
      </c>
      <c r="F34" s="188">
        <f>$B$5-SUM($E$9:E34)</f>
        <v>358995.07590652705</v>
      </c>
    </row>
    <row r="35" spans="2:6" x14ac:dyDescent="0.3">
      <c r="B35">
        <v>27</v>
      </c>
      <c r="C35" s="188">
        <f t="shared" si="0"/>
        <v>3163.1745069661783</v>
      </c>
      <c r="D35" s="188">
        <f t="shared" si="1"/>
        <v>1495.8128162771961</v>
      </c>
      <c r="E35" s="188">
        <f t="shared" si="2"/>
        <v>1667.3616906889822</v>
      </c>
      <c r="F35" s="188">
        <f>$B$5-SUM($E$9:E35)</f>
        <v>357327.71421583806</v>
      </c>
    </row>
    <row r="36" spans="2:6" x14ac:dyDescent="0.3">
      <c r="B36">
        <v>28</v>
      </c>
      <c r="C36" s="188">
        <f t="shared" si="0"/>
        <v>3163.1745069661783</v>
      </c>
      <c r="D36" s="188">
        <f t="shared" si="1"/>
        <v>1488.8654758993252</v>
      </c>
      <c r="E36" s="188">
        <f t="shared" si="2"/>
        <v>1674.3090310668531</v>
      </c>
      <c r="F36" s="188">
        <f>$B$5-SUM($E$9:E36)</f>
        <v>355653.40518477123</v>
      </c>
    </row>
    <row r="37" spans="2:6" x14ac:dyDescent="0.3">
      <c r="B37">
        <v>29</v>
      </c>
      <c r="C37" s="188">
        <f t="shared" si="0"/>
        <v>3163.1745069661783</v>
      </c>
      <c r="D37" s="188">
        <f t="shared" si="1"/>
        <v>1481.8891882698802</v>
      </c>
      <c r="E37" s="188">
        <f t="shared" si="2"/>
        <v>1681.2853186962982</v>
      </c>
      <c r="F37" s="188">
        <f>$B$5-SUM($E$9:E37)</f>
        <v>353972.11986607494</v>
      </c>
    </row>
    <row r="38" spans="2:6" x14ac:dyDescent="0.3">
      <c r="B38">
        <v>30</v>
      </c>
      <c r="C38" s="188">
        <f t="shared" si="0"/>
        <v>3163.1745069661783</v>
      </c>
      <c r="D38" s="188">
        <f t="shared" si="1"/>
        <v>1474.8838327753124</v>
      </c>
      <c r="E38" s="188">
        <f t="shared" si="2"/>
        <v>1688.290674190866</v>
      </c>
      <c r="F38" s="188">
        <f>$B$5-SUM($E$9:E38)</f>
        <v>352283.82919188403</v>
      </c>
    </row>
    <row r="39" spans="2:6" x14ac:dyDescent="0.3">
      <c r="B39">
        <v>31</v>
      </c>
      <c r="C39" s="188">
        <f t="shared" si="0"/>
        <v>3163.1745069661783</v>
      </c>
      <c r="D39" s="188">
        <f t="shared" si="1"/>
        <v>1467.8492882995172</v>
      </c>
      <c r="E39" s="188">
        <f t="shared" si="2"/>
        <v>1695.3252186666612</v>
      </c>
      <c r="F39" s="188">
        <f>$B$5-SUM($E$9:E39)</f>
        <v>350588.50397321739</v>
      </c>
    </row>
    <row r="40" spans="2:6" x14ac:dyDescent="0.3">
      <c r="B40">
        <v>32</v>
      </c>
      <c r="C40" s="188">
        <f t="shared" si="0"/>
        <v>3163.1745069661783</v>
      </c>
      <c r="D40" s="188">
        <f t="shared" si="1"/>
        <v>1460.7854332217391</v>
      </c>
      <c r="E40" s="188">
        <f t="shared" si="2"/>
        <v>1702.3890737444392</v>
      </c>
      <c r="F40" s="188">
        <f>$B$5-SUM($E$9:E40)</f>
        <v>348886.11489947297</v>
      </c>
    </row>
    <row r="41" spans="2:6" x14ac:dyDescent="0.3">
      <c r="B41">
        <v>33</v>
      </c>
      <c r="C41" s="188">
        <f t="shared" si="0"/>
        <v>3163.1745069661783</v>
      </c>
      <c r="D41" s="188">
        <f t="shared" si="1"/>
        <v>1453.6921454144706</v>
      </c>
      <c r="E41" s="188">
        <f t="shared" si="2"/>
        <v>1709.4823615517078</v>
      </c>
      <c r="F41" s="188">
        <f>$B$5-SUM($E$9:E41)</f>
        <v>347176.63253792125</v>
      </c>
    </row>
    <row r="42" spans="2:6" x14ac:dyDescent="0.3">
      <c r="B42">
        <v>34</v>
      </c>
      <c r="C42" s="188">
        <f t="shared" si="0"/>
        <v>3163.1745069661783</v>
      </c>
      <c r="D42" s="188">
        <f t="shared" si="1"/>
        <v>1446.5693022413382</v>
      </c>
      <c r="E42" s="188">
        <f t="shared" si="2"/>
        <v>1716.6052047248402</v>
      </c>
      <c r="F42" s="188">
        <f>$B$5-SUM($E$9:E42)</f>
        <v>345460.02733319643</v>
      </c>
    </row>
    <row r="43" spans="2:6" x14ac:dyDescent="0.3">
      <c r="B43">
        <v>35</v>
      </c>
      <c r="C43" s="188">
        <f t="shared" si="0"/>
        <v>3163.1745069661783</v>
      </c>
      <c r="D43" s="188">
        <f t="shared" si="1"/>
        <v>1439.4167805549848</v>
      </c>
      <c r="E43" s="188">
        <f t="shared" si="2"/>
        <v>1723.7577264111935</v>
      </c>
      <c r="F43" s="188">
        <f>$B$5-SUM($E$9:E43)</f>
        <v>343736.26960678521</v>
      </c>
    </row>
    <row r="44" spans="2:6" x14ac:dyDescent="0.3">
      <c r="B44">
        <v>36</v>
      </c>
      <c r="C44" s="188">
        <f t="shared" si="0"/>
        <v>3163.1745069661783</v>
      </c>
      <c r="D44" s="188">
        <f t="shared" si="1"/>
        <v>1432.2344566949387</v>
      </c>
      <c r="E44" s="188">
        <f t="shared" si="2"/>
        <v>1730.9400502712397</v>
      </c>
      <c r="F44" s="188">
        <f>$B$5-SUM($E$9:E44)</f>
        <v>342005.32955651399</v>
      </c>
    </row>
    <row r="45" spans="2:6" x14ac:dyDescent="0.3">
      <c r="B45">
        <v>37</v>
      </c>
      <c r="C45" s="188">
        <f t="shared" si="0"/>
        <v>3163.1745069661783</v>
      </c>
      <c r="D45" s="188">
        <f t="shared" si="1"/>
        <v>1425.022206485475</v>
      </c>
      <c r="E45" s="188">
        <f t="shared" si="2"/>
        <v>1738.1523004807034</v>
      </c>
      <c r="F45" s="188">
        <f>$B$5-SUM($E$9:E45)</f>
        <v>340267.17725603329</v>
      </c>
    </row>
    <row r="46" spans="2:6" x14ac:dyDescent="0.3">
      <c r="B46">
        <v>38</v>
      </c>
      <c r="C46" s="188">
        <f t="shared" si="0"/>
        <v>3163.1745069661783</v>
      </c>
      <c r="D46" s="188">
        <f t="shared" si="1"/>
        <v>1417.7799052334717</v>
      </c>
      <c r="E46" s="188">
        <f t="shared" si="2"/>
        <v>1745.3946017327066</v>
      </c>
      <c r="F46" s="188">
        <f>$B$5-SUM($E$9:E46)</f>
        <v>338521.78265430056</v>
      </c>
    </row>
    <row r="47" spans="2:6" x14ac:dyDescent="0.3">
      <c r="B47">
        <v>39</v>
      </c>
      <c r="C47" s="188">
        <f t="shared" si="0"/>
        <v>3163.1745069661783</v>
      </c>
      <c r="D47" s="188">
        <f t="shared" si="1"/>
        <v>1410.5074277262522</v>
      </c>
      <c r="E47" s="188">
        <f t="shared" si="2"/>
        <v>1752.6670792399261</v>
      </c>
      <c r="F47" s="188">
        <f>$B$5-SUM($E$9:E47)</f>
        <v>336769.11557506066</v>
      </c>
    </row>
    <row r="48" spans="2:6" x14ac:dyDescent="0.3">
      <c r="B48">
        <v>40</v>
      </c>
      <c r="C48" s="188">
        <f t="shared" si="0"/>
        <v>3163.1745069661783</v>
      </c>
      <c r="D48" s="188">
        <f t="shared" si="1"/>
        <v>1403.2046482294193</v>
      </c>
      <c r="E48" s="188">
        <f t="shared" si="2"/>
        <v>1759.9698587367591</v>
      </c>
      <c r="F48" s="188">
        <f>$B$5-SUM($E$9:E48)</f>
        <v>335009.14571632387</v>
      </c>
    </row>
    <row r="49" spans="2:6" x14ac:dyDescent="0.3">
      <c r="B49">
        <v>41</v>
      </c>
      <c r="C49" s="188">
        <f t="shared" si="0"/>
        <v>3163.1745069661783</v>
      </c>
      <c r="D49" s="188">
        <f t="shared" si="1"/>
        <v>1395.871440484683</v>
      </c>
      <c r="E49" s="188">
        <f t="shared" si="2"/>
        <v>1767.3030664814953</v>
      </c>
      <c r="F49" s="188">
        <f>$B$5-SUM($E$9:E49)</f>
        <v>333241.84264984238</v>
      </c>
    </row>
    <row r="50" spans="2:6" x14ac:dyDescent="0.3">
      <c r="B50">
        <v>42</v>
      </c>
      <c r="C50" s="188">
        <f t="shared" si="0"/>
        <v>3163.1745069661783</v>
      </c>
      <c r="D50" s="188">
        <f t="shared" si="1"/>
        <v>1388.5076777076767</v>
      </c>
      <c r="E50" s="188">
        <f t="shared" si="2"/>
        <v>1774.6668292585016</v>
      </c>
      <c r="F50" s="188">
        <f>$B$5-SUM($E$9:E50)</f>
        <v>331467.17582058389</v>
      </c>
    </row>
    <row r="51" spans="2:6" x14ac:dyDescent="0.3">
      <c r="B51">
        <v>43</v>
      </c>
      <c r="C51" s="188">
        <f t="shared" si="0"/>
        <v>3163.1745069661783</v>
      </c>
      <c r="D51" s="188">
        <f t="shared" si="1"/>
        <v>1381.1132325857661</v>
      </c>
      <c r="E51" s="188">
        <f t="shared" si="2"/>
        <v>1782.0612743804122</v>
      </c>
      <c r="F51" s="188">
        <f>$B$5-SUM($E$9:E51)</f>
        <v>329685.11454620346</v>
      </c>
    </row>
    <row r="52" spans="2:6" x14ac:dyDescent="0.3">
      <c r="B52">
        <v>44</v>
      </c>
      <c r="C52" s="188">
        <f t="shared" si="0"/>
        <v>3163.1745069661783</v>
      </c>
      <c r="D52" s="188">
        <f t="shared" si="1"/>
        <v>1373.687977275848</v>
      </c>
      <c r="E52" s="188">
        <f t="shared" si="2"/>
        <v>1789.4865296903304</v>
      </c>
      <c r="F52" s="188">
        <f>$B$5-SUM($E$9:E52)</f>
        <v>327895.62801651313</v>
      </c>
    </row>
    <row r="53" spans="2:6" x14ac:dyDescent="0.3">
      <c r="B53">
        <v>45</v>
      </c>
      <c r="C53" s="188">
        <f t="shared" si="0"/>
        <v>3163.1745069661783</v>
      </c>
      <c r="D53" s="188">
        <f t="shared" si="1"/>
        <v>1366.231783402138</v>
      </c>
      <c r="E53" s="188">
        <f t="shared" si="2"/>
        <v>1796.9427235640403</v>
      </c>
      <c r="F53" s="188">
        <f>$B$5-SUM($E$9:E53)</f>
        <v>326098.68529294909</v>
      </c>
    </row>
    <row r="54" spans="2:6" x14ac:dyDescent="0.3">
      <c r="B54">
        <v>46</v>
      </c>
      <c r="C54" s="188">
        <f t="shared" si="0"/>
        <v>3163.1745069661783</v>
      </c>
      <c r="D54" s="188">
        <f t="shared" si="1"/>
        <v>1358.7445220539548</v>
      </c>
      <c r="E54" s="188">
        <f t="shared" si="2"/>
        <v>1804.4299849122235</v>
      </c>
      <c r="F54" s="188">
        <f>$B$5-SUM($E$9:E54)</f>
        <v>324294.25530803687</v>
      </c>
    </row>
    <row r="55" spans="2:6" x14ac:dyDescent="0.3">
      <c r="B55">
        <v>47</v>
      </c>
      <c r="C55" s="188">
        <f t="shared" si="0"/>
        <v>3163.1745069661783</v>
      </c>
      <c r="D55" s="188">
        <f t="shared" si="1"/>
        <v>1351.2260637834872</v>
      </c>
      <c r="E55" s="188">
        <f t="shared" si="2"/>
        <v>1811.9484431826911</v>
      </c>
      <c r="F55" s="188">
        <f>$B$5-SUM($E$9:E55)</f>
        <v>322482.30686485418</v>
      </c>
    </row>
    <row r="56" spans="2:6" x14ac:dyDescent="0.3">
      <c r="B56">
        <v>48</v>
      </c>
      <c r="C56" s="188">
        <f t="shared" si="0"/>
        <v>3163.1745069661783</v>
      </c>
      <c r="D56" s="188">
        <f t="shared" si="1"/>
        <v>1343.676278603559</v>
      </c>
      <c r="E56" s="188">
        <f t="shared" si="2"/>
        <v>1819.4982283626193</v>
      </c>
      <c r="F56" s="188">
        <f>$B$5-SUM($E$9:E56)</f>
        <v>320662.80863649159</v>
      </c>
    </row>
    <row r="57" spans="2:6" x14ac:dyDescent="0.3">
      <c r="B57">
        <v>49</v>
      </c>
      <c r="C57" s="188">
        <f t="shared" si="0"/>
        <v>3163.1745069661783</v>
      </c>
      <c r="D57" s="188">
        <f t="shared" si="1"/>
        <v>1336.0950359853814</v>
      </c>
      <c r="E57" s="188">
        <f t="shared" si="2"/>
        <v>1827.0794709807969</v>
      </c>
      <c r="F57" s="188">
        <f>$B$5-SUM($E$9:E57)</f>
        <v>318835.7291655108</v>
      </c>
    </row>
    <row r="58" spans="2:6" x14ac:dyDescent="0.3">
      <c r="B58">
        <v>50</v>
      </c>
      <c r="C58" s="188">
        <f t="shared" si="0"/>
        <v>3163.1745069661783</v>
      </c>
      <c r="D58" s="188">
        <f t="shared" si="1"/>
        <v>1328.4822048562949</v>
      </c>
      <c r="E58" s="188">
        <f t="shared" si="2"/>
        <v>1834.6923021098835</v>
      </c>
      <c r="F58" s="188">
        <f>$B$5-SUM($E$9:E58)</f>
        <v>317001.03686340089</v>
      </c>
    </row>
    <row r="59" spans="2:6" x14ac:dyDescent="0.3">
      <c r="B59">
        <v>51</v>
      </c>
      <c r="C59" s="188">
        <f t="shared" si="0"/>
        <v>3163.1745069661783</v>
      </c>
      <c r="D59" s="188">
        <f t="shared" si="1"/>
        <v>1320.8376535975037</v>
      </c>
      <c r="E59" s="188">
        <f t="shared" si="2"/>
        <v>1842.3368533686746</v>
      </c>
      <c r="F59" s="188">
        <f>$B$5-SUM($E$9:E59)</f>
        <v>315158.70001003222</v>
      </c>
    </row>
    <row r="60" spans="2:6" x14ac:dyDescent="0.3">
      <c r="B60">
        <v>52</v>
      </c>
      <c r="C60" s="188">
        <f t="shared" si="0"/>
        <v>3163.1745069661783</v>
      </c>
      <c r="D60" s="188">
        <f t="shared" si="1"/>
        <v>1313.1612500418007</v>
      </c>
      <c r="E60" s="188">
        <f t="shared" si="2"/>
        <v>1850.0132569243776</v>
      </c>
      <c r="F60" s="188">
        <f>$B$5-SUM($E$9:E60)</f>
        <v>313308.68675310788</v>
      </c>
    </row>
    <row r="61" spans="2:6" x14ac:dyDescent="0.3">
      <c r="B61">
        <v>53</v>
      </c>
      <c r="C61" s="188">
        <f t="shared" si="0"/>
        <v>3163.1745069661783</v>
      </c>
      <c r="D61" s="188">
        <f t="shared" si="1"/>
        <v>1305.4528614712826</v>
      </c>
      <c r="E61" s="188">
        <f t="shared" si="2"/>
        <v>1857.7216454948957</v>
      </c>
      <c r="F61" s="188">
        <f>$B$5-SUM($E$9:E61)</f>
        <v>311450.96510761295</v>
      </c>
    </row>
    <row r="62" spans="2:6" x14ac:dyDescent="0.3">
      <c r="B62">
        <v>54</v>
      </c>
      <c r="C62" s="188">
        <f t="shared" si="0"/>
        <v>3163.1745069661783</v>
      </c>
      <c r="D62" s="188">
        <f t="shared" si="1"/>
        <v>1297.712354615054</v>
      </c>
      <c r="E62" s="188">
        <f t="shared" si="2"/>
        <v>1865.4621523511244</v>
      </c>
      <c r="F62" s="188">
        <f>$B$5-SUM($E$9:E62)</f>
        <v>309585.50295526185</v>
      </c>
    </row>
    <row r="63" spans="2:6" x14ac:dyDescent="0.3">
      <c r="B63">
        <v>55</v>
      </c>
      <c r="C63" s="188">
        <f t="shared" si="0"/>
        <v>3163.1745069661783</v>
      </c>
      <c r="D63" s="188">
        <f t="shared" si="1"/>
        <v>1289.9395956469243</v>
      </c>
      <c r="E63" s="188">
        <f t="shared" si="2"/>
        <v>1873.234911319254</v>
      </c>
      <c r="F63" s="188">
        <f>$B$5-SUM($E$9:E63)</f>
        <v>307712.26804394257</v>
      </c>
    </row>
    <row r="64" spans="2:6" x14ac:dyDescent="0.3">
      <c r="B64">
        <v>56</v>
      </c>
      <c r="C64" s="188">
        <f t="shared" si="0"/>
        <v>3163.1745069661783</v>
      </c>
      <c r="D64" s="188">
        <f t="shared" si="1"/>
        <v>1282.1344501830943</v>
      </c>
      <c r="E64" s="188">
        <f t="shared" si="2"/>
        <v>1881.0400567830841</v>
      </c>
      <c r="F64" s="188">
        <f>$B$5-SUM($E$9:E64)</f>
        <v>305831.22798715951</v>
      </c>
    </row>
    <row r="65" spans="2:6" x14ac:dyDescent="0.3">
      <c r="B65">
        <v>57</v>
      </c>
      <c r="C65" s="188">
        <f t="shared" si="0"/>
        <v>3163.1745069661783</v>
      </c>
      <c r="D65" s="188">
        <f t="shared" si="1"/>
        <v>1274.2967832798311</v>
      </c>
      <c r="E65" s="188">
        <f t="shared" si="2"/>
        <v>1888.8777236863473</v>
      </c>
      <c r="F65" s="188">
        <f>$B$5-SUM($E$9:E65)</f>
        <v>303942.35026347311</v>
      </c>
    </row>
    <row r="66" spans="2:6" x14ac:dyDescent="0.3">
      <c r="B66">
        <v>58</v>
      </c>
      <c r="C66" s="188">
        <f t="shared" si="0"/>
        <v>3163.1745069661783</v>
      </c>
      <c r="D66" s="188">
        <f t="shared" si="1"/>
        <v>1266.4264594311385</v>
      </c>
      <c r="E66" s="188">
        <f t="shared" si="2"/>
        <v>1896.7480475350399</v>
      </c>
      <c r="F66" s="188">
        <f>$B$5-SUM($E$9:E66)</f>
        <v>302045.6022159381</v>
      </c>
    </row>
    <row r="67" spans="2:6" x14ac:dyDescent="0.3">
      <c r="B67">
        <v>59</v>
      </c>
      <c r="C67" s="188">
        <f t="shared" si="0"/>
        <v>3163.1745069661783</v>
      </c>
      <c r="D67" s="188">
        <f t="shared" si="1"/>
        <v>1258.5233425664087</v>
      </c>
      <c r="E67" s="188">
        <f t="shared" si="2"/>
        <v>1904.6511643997696</v>
      </c>
      <c r="F67" s="188">
        <f>$B$5-SUM($E$9:E67)</f>
        <v>300140.95105153834</v>
      </c>
    </row>
    <row r="68" spans="2:6" x14ac:dyDescent="0.3">
      <c r="B68">
        <v>60</v>
      </c>
      <c r="C68" s="188">
        <f t="shared" si="0"/>
        <v>3163.1745069661783</v>
      </c>
      <c r="D68" s="188">
        <f t="shared" si="1"/>
        <v>1250.5872960480763</v>
      </c>
      <c r="E68" s="188">
        <f t="shared" si="2"/>
        <v>1912.5872109181021</v>
      </c>
      <c r="F68" s="188">
        <f>$B$5-SUM($E$9:E68)</f>
        <v>298228.36384062021</v>
      </c>
    </row>
    <row r="70" spans="2:6" x14ac:dyDescent="0.3">
      <c r="B70" t="s">
        <v>204</v>
      </c>
      <c r="D70" t="s">
        <v>205</v>
      </c>
      <c r="E70" t="s">
        <v>206</v>
      </c>
      <c r="F70" t="s">
        <v>207</v>
      </c>
    </row>
    <row r="71" spans="2:6" x14ac:dyDescent="0.3">
      <c r="D71" s="188">
        <f>SUM(D6:D68)</f>
        <v>88018.834258590869</v>
      </c>
      <c r="E71" s="188">
        <f>SUM(E6:E68)</f>
        <v>101771.63615937978</v>
      </c>
      <c r="F71" s="188">
        <f>D71+E71</f>
        <v>189790.47041797065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75"/>
  <sheetViews>
    <sheetView tabSelected="1" zoomScaleNormal="100" workbookViewId="0">
      <selection sqref="A1:L1"/>
    </sheetView>
  </sheetViews>
  <sheetFormatPr defaultRowHeight="14.4" x14ac:dyDescent="0.3"/>
  <cols>
    <col min="1" max="1" width="5.33203125" customWidth="1"/>
    <col min="12" max="12" width="9.109375" customWidth="1"/>
    <col min="13" max="13" width="5.88671875" style="278" customWidth="1"/>
    <col min="25" max="32" width="9.109375" style="278"/>
  </cols>
  <sheetData>
    <row r="1" spans="1:32" ht="18.75" customHeight="1" thickBot="1" x14ac:dyDescent="0.4">
      <c r="A1" s="518" t="s">
        <v>189</v>
      </c>
      <c r="B1" s="519"/>
      <c r="C1" s="519"/>
      <c r="D1" s="519"/>
      <c r="E1" s="519"/>
      <c r="F1" s="519"/>
      <c r="G1" s="519"/>
      <c r="H1" s="519"/>
      <c r="I1" s="519"/>
      <c r="J1" s="519"/>
      <c r="K1" s="519"/>
      <c r="L1" s="520"/>
      <c r="M1" s="315"/>
      <c r="N1" s="278"/>
      <c r="O1" s="278"/>
      <c r="P1" s="278"/>
      <c r="Q1" s="278"/>
      <c r="R1" s="278"/>
      <c r="S1" s="278"/>
      <c r="T1" s="278"/>
      <c r="U1" s="278"/>
      <c r="V1" s="278"/>
      <c r="W1" s="278"/>
      <c r="X1" s="278"/>
    </row>
    <row r="2" spans="1:32" ht="15" thickBot="1" x14ac:dyDescent="0.35">
      <c r="A2" s="278"/>
      <c r="B2" s="278"/>
      <c r="C2" s="278"/>
      <c r="D2" s="278"/>
      <c r="E2" s="278"/>
      <c r="F2" s="278"/>
      <c r="G2" s="278"/>
      <c r="H2" s="278"/>
      <c r="I2" s="278"/>
      <c r="J2" s="278"/>
      <c r="K2" s="278"/>
      <c r="L2" s="343"/>
      <c r="N2" s="278"/>
      <c r="O2" s="278"/>
      <c r="P2" s="278"/>
      <c r="Q2" s="278"/>
      <c r="R2" s="278"/>
      <c r="S2" s="278"/>
      <c r="T2" s="278"/>
      <c r="U2" s="278"/>
      <c r="V2" s="278"/>
      <c r="W2" s="278"/>
      <c r="X2" s="278"/>
    </row>
    <row r="3" spans="1:32" ht="19.5" customHeight="1" thickBot="1" x14ac:dyDescent="0.4">
      <c r="A3" s="519" t="s">
        <v>190</v>
      </c>
      <c r="B3" s="519"/>
      <c r="C3" s="519"/>
      <c r="D3" s="519"/>
      <c r="E3" s="519"/>
      <c r="F3" s="519"/>
      <c r="G3" s="519"/>
      <c r="H3" s="519"/>
      <c r="I3" s="519"/>
      <c r="J3" s="519"/>
      <c r="K3" s="519"/>
      <c r="L3" s="520"/>
      <c r="N3" s="278"/>
      <c r="O3" s="278"/>
      <c r="P3" s="278"/>
      <c r="Q3" s="278"/>
      <c r="R3" s="278"/>
      <c r="S3" s="278"/>
      <c r="T3" s="278"/>
      <c r="U3" s="278"/>
      <c r="V3" s="278"/>
      <c r="W3" s="278"/>
      <c r="X3" s="278"/>
    </row>
    <row r="4" spans="1:32" ht="15" customHeight="1" x14ac:dyDescent="0.3">
      <c r="A4" s="524" t="s">
        <v>175</v>
      </c>
      <c r="B4" s="498" t="s">
        <v>340</v>
      </c>
      <c r="C4" s="499"/>
      <c r="D4" s="499"/>
      <c r="E4" s="499"/>
      <c r="F4" s="499"/>
      <c r="G4" s="499"/>
      <c r="H4" s="499"/>
      <c r="I4" s="499"/>
      <c r="J4" s="499"/>
      <c r="K4" s="499"/>
      <c r="L4" s="500"/>
      <c r="N4" s="278"/>
      <c r="O4" s="278"/>
      <c r="P4" s="278"/>
      <c r="Q4" s="278"/>
      <c r="R4" s="278"/>
      <c r="S4" s="278"/>
      <c r="T4" s="278"/>
      <c r="U4" s="278"/>
      <c r="V4" s="278"/>
      <c r="W4" s="278"/>
      <c r="X4" s="278"/>
    </row>
    <row r="5" spans="1:32" ht="15" customHeight="1" x14ac:dyDescent="0.3">
      <c r="A5" s="524"/>
      <c r="B5" s="498"/>
      <c r="C5" s="499"/>
      <c r="D5" s="499"/>
      <c r="E5" s="499"/>
      <c r="F5" s="499"/>
      <c r="G5" s="499"/>
      <c r="H5" s="499"/>
      <c r="I5" s="499"/>
      <c r="J5" s="499"/>
      <c r="K5" s="499"/>
      <c r="L5" s="500"/>
      <c r="N5" s="278"/>
      <c r="O5" s="278"/>
      <c r="P5" s="278"/>
      <c r="Q5" s="278"/>
      <c r="R5" s="278"/>
      <c r="S5" s="278"/>
      <c r="T5" s="278"/>
      <c r="U5" s="278"/>
      <c r="V5" s="278"/>
      <c r="W5" s="278"/>
      <c r="X5" s="278"/>
    </row>
    <row r="6" spans="1:32" ht="15" customHeight="1" x14ac:dyDescent="0.3">
      <c r="A6" s="524"/>
      <c r="B6" s="498"/>
      <c r="C6" s="499"/>
      <c r="D6" s="499"/>
      <c r="E6" s="499"/>
      <c r="F6" s="499"/>
      <c r="G6" s="499"/>
      <c r="H6" s="499"/>
      <c r="I6" s="499"/>
      <c r="J6" s="499"/>
      <c r="K6" s="499"/>
      <c r="L6" s="500"/>
      <c r="N6" s="278"/>
      <c r="O6" s="278"/>
      <c r="P6" s="278"/>
      <c r="Q6" s="278"/>
      <c r="R6" s="278"/>
      <c r="S6" s="278"/>
      <c r="T6" s="278"/>
      <c r="U6" s="278"/>
      <c r="V6" s="278"/>
      <c r="W6" s="278"/>
      <c r="X6" s="278"/>
    </row>
    <row r="7" spans="1:32" ht="15" customHeight="1" x14ac:dyDescent="0.3">
      <c r="A7" s="524"/>
      <c r="B7" s="498"/>
      <c r="C7" s="499"/>
      <c r="D7" s="499"/>
      <c r="E7" s="499"/>
      <c r="F7" s="499"/>
      <c r="G7" s="499"/>
      <c r="H7" s="499"/>
      <c r="I7" s="499"/>
      <c r="J7" s="499"/>
      <c r="K7" s="499"/>
      <c r="L7" s="500"/>
      <c r="N7" s="278"/>
      <c r="O7" s="278"/>
      <c r="P7" s="278"/>
      <c r="Q7" s="278"/>
      <c r="R7" s="278"/>
      <c r="S7" s="278"/>
      <c r="T7" s="278"/>
      <c r="U7" s="278"/>
      <c r="V7" s="278"/>
      <c r="W7" s="278"/>
      <c r="X7" s="278"/>
    </row>
    <row r="8" spans="1:32" ht="15" customHeight="1" x14ac:dyDescent="0.3">
      <c r="A8" s="524"/>
      <c r="B8" s="498"/>
      <c r="C8" s="499"/>
      <c r="D8" s="499"/>
      <c r="E8" s="499"/>
      <c r="F8" s="499"/>
      <c r="G8" s="499"/>
      <c r="H8" s="499"/>
      <c r="I8" s="499"/>
      <c r="J8" s="499"/>
      <c r="K8" s="499"/>
      <c r="L8" s="500"/>
      <c r="N8" s="278"/>
      <c r="O8" s="278"/>
      <c r="P8" s="278"/>
      <c r="Q8" s="278"/>
      <c r="R8" s="278"/>
      <c r="S8" s="278"/>
      <c r="T8" s="278"/>
      <c r="U8" s="278"/>
      <c r="V8" s="278"/>
      <c r="W8" s="278"/>
      <c r="X8" s="278"/>
    </row>
    <row r="9" spans="1:32" ht="15" customHeight="1" x14ac:dyDescent="0.3">
      <c r="A9" s="524"/>
      <c r="B9" s="498"/>
      <c r="C9" s="499"/>
      <c r="D9" s="499"/>
      <c r="E9" s="499"/>
      <c r="F9" s="499"/>
      <c r="G9" s="499"/>
      <c r="H9" s="499"/>
      <c r="I9" s="499"/>
      <c r="J9" s="499"/>
      <c r="K9" s="499"/>
      <c r="L9" s="500"/>
      <c r="N9" s="278"/>
      <c r="O9" s="278"/>
      <c r="P9" s="278"/>
      <c r="Q9" s="278"/>
      <c r="R9" s="278"/>
      <c r="S9" s="278"/>
      <c r="T9" s="278"/>
      <c r="U9" s="278"/>
      <c r="V9" s="278"/>
      <c r="W9" s="278"/>
      <c r="X9" s="278"/>
    </row>
    <row r="10" spans="1:32" ht="15" customHeight="1" x14ac:dyDescent="0.3">
      <c r="A10" s="524"/>
      <c r="B10" s="498"/>
      <c r="C10" s="499"/>
      <c r="D10" s="499"/>
      <c r="E10" s="499"/>
      <c r="F10" s="499"/>
      <c r="G10" s="499"/>
      <c r="H10" s="499"/>
      <c r="I10" s="499"/>
      <c r="J10" s="499"/>
      <c r="K10" s="499"/>
      <c r="L10" s="500"/>
      <c r="N10" s="278"/>
      <c r="O10" s="278"/>
      <c r="P10" s="278"/>
      <c r="Q10" s="278"/>
      <c r="R10" s="278"/>
      <c r="S10" s="278"/>
      <c r="T10" s="278"/>
      <c r="U10" s="278"/>
      <c r="V10" s="278"/>
      <c r="W10" s="278"/>
      <c r="X10" s="278"/>
    </row>
    <row r="11" spans="1:32" ht="15" customHeight="1" thickBot="1" x14ac:dyDescent="0.35">
      <c r="A11" s="525"/>
      <c r="B11" s="501"/>
      <c r="C11" s="502"/>
      <c r="D11" s="502"/>
      <c r="E11" s="502"/>
      <c r="F11" s="502"/>
      <c r="G11" s="502"/>
      <c r="H11" s="502"/>
      <c r="I11" s="502"/>
      <c r="J11" s="502"/>
      <c r="K11" s="502"/>
      <c r="L11" s="503"/>
      <c r="N11" s="278"/>
      <c r="O11" s="278"/>
      <c r="P11" s="278"/>
      <c r="Q11" s="278"/>
      <c r="R11" s="278"/>
      <c r="S11" s="278"/>
      <c r="T11" s="278"/>
      <c r="U11" s="278"/>
      <c r="V11" s="278"/>
      <c r="W11" s="278"/>
      <c r="X11" s="278"/>
    </row>
    <row r="12" spans="1:32" s="102" customFormat="1" ht="15" customHeight="1" thickBot="1" x14ac:dyDescent="0.35">
      <c r="A12" s="317"/>
      <c r="B12" s="318"/>
      <c r="C12" s="318"/>
      <c r="D12" s="318"/>
      <c r="E12" s="318"/>
      <c r="F12" s="318"/>
      <c r="G12" s="318"/>
      <c r="H12" s="318"/>
      <c r="I12" s="318"/>
      <c r="J12" s="318"/>
      <c r="K12" s="318"/>
      <c r="L12" s="342"/>
      <c r="M12" s="278"/>
      <c r="N12" s="278"/>
      <c r="O12" s="278"/>
      <c r="P12" s="278"/>
      <c r="Q12" s="278"/>
      <c r="R12" s="278"/>
      <c r="S12" s="278"/>
      <c r="T12" s="278"/>
      <c r="U12" s="278"/>
      <c r="V12" s="278"/>
      <c r="W12" s="278"/>
      <c r="X12" s="278"/>
      <c r="Y12" s="278"/>
      <c r="Z12" s="278"/>
      <c r="AA12" s="278"/>
      <c r="AB12" s="278"/>
      <c r="AC12" s="278"/>
      <c r="AD12" s="278"/>
      <c r="AE12" s="278"/>
      <c r="AF12" s="278"/>
    </row>
    <row r="13" spans="1:32" s="102" customFormat="1" ht="19.5" customHeight="1" thickBot="1" x14ac:dyDescent="0.35">
      <c r="A13" s="521" t="s">
        <v>191</v>
      </c>
      <c r="B13" s="522"/>
      <c r="C13" s="522"/>
      <c r="D13" s="522"/>
      <c r="E13" s="522"/>
      <c r="F13" s="522"/>
      <c r="G13" s="522"/>
      <c r="H13" s="522"/>
      <c r="I13" s="522"/>
      <c r="J13" s="522"/>
      <c r="K13" s="522"/>
      <c r="L13" s="523"/>
      <c r="M13" s="278"/>
      <c r="N13" s="278"/>
      <c r="O13" s="278"/>
      <c r="P13" s="278"/>
      <c r="Q13" s="278"/>
      <c r="R13" s="278"/>
      <c r="S13" s="278"/>
      <c r="T13" s="278"/>
      <c r="U13" s="278"/>
      <c r="V13" s="278"/>
      <c r="W13" s="278"/>
      <c r="X13" s="278"/>
      <c r="Y13" s="278"/>
      <c r="Z13" s="278"/>
      <c r="AA13" s="278"/>
      <c r="AB13" s="278"/>
      <c r="AC13" s="278"/>
      <c r="AD13" s="278"/>
      <c r="AE13" s="278"/>
      <c r="AF13" s="278"/>
    </row>
    <row r="14" spans="1:32" s="102" customFormat="1" ht="15" customHeight="1" x14ac:dyDescent="0.3">
      <c r="A14" s="524" t="s">
        <v>175</v>
      </c>
      <c r="B14" s="495" t="s">
        <v>342</v>
      </c>
      <c r="C14" s="496"/>
      <c r="D14" s="496"/>
      <c r="E14" s="496"/>
      <c r="F14" s="496"/>
      <c r="G14" s="496"/>
      <c r="H14" s="496"/>
      <c r="I14" s="496"/>
      <c r="J14" s="496"/>
      <c r="K14" s="496"/>
      <c r="L14" s="497"/>
      <c r="M14" s="278"/>
      <c r="N14" s="278"/>
      <c r="O14" s="278"/>
      <c r="P14" s="278"/>
      <c r="Q14" s="278"/>
      <c r="R14" s="278"/>
      <c r="S14" s="278"/>
      <c r="T14" s="278"/>
      <c r="U14" s="278"/>
      <c r="V14" s="278"/>
      <c r="W14" s="278"/>
      <c r="X14" s="278"/>
      <c r="Y14" s="278"/>
      <c r="Z14" s="278"/>
      <c r="AA14" s="278"/>
      <c r="AB14" s="278"/>
      <c r="AC14" s="278"/>
      <c r="AD14" s="278"/>
      <c r="AE14" s="278"/>
      <c r="AF14" s="278"/>
    </row>
    <row r="15" spans="1:32" s="102" customFormat="1" ht="15" customHeight="1" x14ac:dyDescent="0.3">
      <c r="A15" s="524"/>
      <c r="B15" s="498"/>
      <c r="C15" s="499"/>
      <c r="D15" s="499"/>
      <c r="E15" s="499"/>
      <c r="F15" s="499"/>
      <c r="G15" s="499"/>
      <c r="H15" s="499"/>
      <c r="I15" s="499"/>
      <c r="J15" s="499"/>
      <c r="K15" s="499"/>
      <c r="L15" s="500"/>
      <c r="M15" s="278"/>
      <c r="N15" s="278"/>
      <c r="O15" s="278"/>
      <c r="P15" s="278"/>
      <c r="Q15" s="278"/>
      <c r="R15" s="278"/>
      <c r="S15" s="278"/>
      <c r="T15" s="278"/>
      <c r="U15" s="278"/>
      <c r="V15" s="278"/>
      <c r="W15" s="278"/>
      <c r="X15" s="278"/>
      <c r="Y15" s="278"/>
      <c r="Z15" s="278"/>
      <c r="AA15" s="278"/>
      <c r="AB15" s="278"/>
      <c r="AC15" s="278"/>
      <c r="AD15" s="278"/>
      <c r="AE15" s="278"/>
      <c r="AF15" s="278"/>
    </row>
    <row r="16" spans="1:32" s="102" customFormat="1" ht="15" customHeight="1" x14ac:dyDescent="0.3">
      <c r="A16" s="524"/>
      <c r="B16" s="498"/>
      <c r="C16" s="499"/>
      <c r="D16" s="499"/>
      <c r="E16" s="499"/>
      <c r="F16" s="499"/>
      <c r="G16" s="499"/>
      <c r="H16" s="499"/>
      <c r="I16" s="499"/>
      <c r="J16" s="499"/>
      <c r="K16" s="499"/>
      <c r="L16" s="500"/>
      <c r="M16" s="278"/>
      <c r="N16" s="278"/>
      <c r="O16" s="278"/>
      <c r="P16" s="278"/>
      <c r="Q16" s="278"/>
      <c r="R16" s="278"/>
      <c r="S16" s="278"/>
      <c r="T16" s="278"/>
      <c r="U16" s="278"/>
      <c r="V16" s="278"/>
      <c r="W16" s="278"/>
      <c r="X16" s="278"/>
      <c r="Y16" s="278"/>
      <c r="Z16" s="278"/>
      <c r="AA16" s="278"/>
      <c r="AB16" s="278"/>
      <c r="AC16" s="278"/>
      <c r="AD16" s="278"/>
      <c r="AE16" s="278"/>
      <c r="AF16" s="278"/>
    </row>
    <row r="17" spans="1:32" s="102" customFormat="1" ht="15" customHeight="1" x14ac:dyDescent="0.3">
      <c r="A17" s="524"/>
      <c r="B17" s="498"/>
      <c r="C17" s="499"/>
      <c r="D17" s="499"/>
      <c r="E17" s="499"/>
      <c r="F17" s="499"/>
      <c r="G17" s="499"/>
      <c r="H17" s="499"/>
      <c r="I17" s="499"/>
      <c r="J17" s="499"/>
      <c r="K17" s="499"/>
      <c r="L17" s="500"/>
      <c r="M17" s="278"/>
      <c r="N17" s="278"/>
      <c r="O17" s="278"/>
      <c r="P17" s="278"/>
      <c r="Q17" s="278"/>
      <c r="R17" s="278"/>
      <c r="S17" s="278"/>
      <c r="T17" s="278"/>
      <c r="U17" s="278"/>
      <c r="V17" s="278"/>
      <c r="W17" s="278"/>
      <c r="X17" s="278"/>
      <c r="Y17" s="278"/>
      <c r="Z17" s="278"/>
      <c r="AA17" s="278"/>
      <c r="AB17" s="278"/>
      <c r="AC17" s="278"/>
      <c r="AD17" s="278"/>
      <c r="AE17" s="278"/>
      <c r="AF17" s="278"/>
    </row>
    <row r="18" spans="1:32" s="102" customFormat="1" ht="51" customHeight="1" thickBot="1" x14ac:dyDescent="0.35">
      <c r="A18" s="525"/>
      <c r="B18" s="501"/>
      <c r="C18" s="502"/>
      <c r="D18" s="502"/>
      <c r="E18" s="502"/>
      <c r="F18" s="502"/>
      <c r="G18" s="502"/>
      <c r="H18" s="502"/>
      <c r="I18" s="502"/>
      <c r="J18" s="502"/>
      <c r="K18" s="502"/>
      <c r="L18" s="503"/>
      <c r="M18" s="278"/>
      <c r="N18" s="278"/>
      <c r="O18" s="278"/>
      <c r="P18" s="278"/>
      <c r="Q18" s="278"/>
      <c r="R18" s="278"/>
      <c r="S18" s="278"/>
      <c r="T18" s="278"/>
      <c r="U18" s="278"/>
      <c r="V18" s="278"/>
      <c r="W18" s="278"/>
      <c r="X18" s="278"/>
      <c r="Y18" s="278"/>
      <c r="Z18" s="278"/>
      <c r="AA18" s="278"/>
      <c r="AB18" s="278"/>
      <c r="AC18" s="278"/>
      <c r="AD18" s="278"/>
      <c r="AE18" s="278"/>
      <c r="AF18" s="278"/>
    </row>
    <row r="19" spans="1:32" ht="18.600000000000001" thickBot="1" x14ac:dyDescent="0.4">
      <c r="A19" s="518" t="s">
        <v>192</v>
      </c>
      <c r="B19" s="519"/>
      <c r="C19" s="519"/>
      <c r="D19" s="519"/>
      <c r="E19" s="519"/>
      <c r="F19" s="519"/>
      <c r="G19" s="519"/>
      <c r="H19" s="519"/>
      <c r="I19" s="519"/>
      <c r="J19" s="519"/>
      <c r="K19" s="519"/>
      <c r="L19" s="520"/>
      <c r="N19" s="278"/>
      <c r="O19" s="278"/>
      <c r="P19" s="278"/>
      <c r="Q19" s="278"/>
      <c r="R19" s="278"/>
      <c r="S19" s="278"/>
      <c r="T19" s="278"/>
      <c r="U19" s="278"/>
      <c r="V19" s="278"/>
      <c r="W19" s="278"/>
      <c r="X19" s="278"/>
    </row>
    <row r="20" spans="1:32" x14ac:dyDescent="0.3">
      <c r="A20" s="515" t="s">
        <v>175</v>
      </c>
      <c r="B20" s="450" t="s">
        <v>333</v>
      </c>
      <c r="C20" s="451"/>
      <c r="D20" s="451"/>
      <c r="E20" s="451"/>
      <c r="F20" s="451"/>
      <c r="G20" s="451"/>
      <c r="H20" s="451"/>
      <c r="I20" s="451"/>
      <c r="J20" s="451"/>
      <c r="K20" s="451"/>
      <c r="L20" s="452"/>
      <c r="N20" s="278"/>
      <c r="O20" s="278"/>
      <c r="P20" s="278"/>
      <c r="Q20" s="278"/>
      <c r="R20" s="278"/>
      <c r="S20" s="278"/>
      <c r="T20" s="278"/>
      <c r="U20" s="278"/>
      <c r="V20" s="278"/>
      <c r="W20" s="278"/>
      <c r="X20" s="278"/>
    </row>
    <row r="21" spans="1:32" x14ac:dyDescent="0.3">
      <c r="A21" s="516"/>
      <c r="B21" s="453"/>
      <c r="C21" s="454"/>
      <c r="D21" s="454"/>
      <c r="E21" s="454"/>
      <c r="F21" s="454"/>
      <c r="G21" s="454"/>
      <c r="H21" s="454"/>
      <c r="I21" s="454"/>
      <c r="J21" s="454"/>
      <c r="K21" s="454"/>
      <c r="L21" s="455"/>
      <c r="N21" s="278"/>
      <c r="O21" s="278"/>
      <c r="P21" s="278"/>
      <c r="Q21" s="278"/>
      <c r="R21" s="278"/>
      <c r="S21" s="278"/>
      <c r="T21" s="278"/>
      <c r="U21" s="278"/>
      <c r="V21" s="278"/>
      <c r="W21" s="278"/>
      <c r="X21" s="278"/>
    </row>
    <row r="22" spans="1:32" x14ac:dyDescent="0.3">
      <c r="A22" s="516"/>
      <c r="B22" s="453"/>
      <c r="C22" s="454"/>
      <c r="D22" s="454"/>
      <c r="E22" s="454"/>
      <c r="F22" s="454"/>
      <c r="G22" s="454"/>
      <c r="H22" s="454"/>
      <c r="I22" s="454"/>
      <c r="J22" s="454"/>
      <c r="K22" s="454"/>
      <c r="L22" s="455"/>
      <c r="N22" s="278"/>
      <c r="O22" s="278"/>
      <c r="P22" s="278"/>
      <c r="Q22" s="278"/>
      <c r="R22" s="278"/>
      <c r="S22" s="278"/>
      <c r="T22" s="278"/>
      <c r="U22" s="278"/>
      <c r="V22" s="278"/>
      <c r="W22" s="278"/>
      <c r="X22" s="278"/>
    </row>
    <row r="23" spans="1:32" x14ac:dyDescent="0.3">
      <c r="A23" s="516"/>
      <c r="B23" s="453"/>
      <c r="C23" s="454"/>
      <c r="D23" s="454"/>
      <c r="E23" s="454"/>
      <c r="F23" s="454"/>
      <c r="G23" s="454"/>
      <c r="H23" s="454"/>
      <c r="I23" s="454"/>
      <c r="J23" s="454"/>
      <c r="K23" s="454"/>
      <c r="L23" s="455"/>
      <c r="N23" s="278"/>
      <c r="O23" s="278"/>
      <c r="P23" s="278"/>
      <c r="Q23" s="278"/>
      <c r="R23" s="278"/>
      <c r="S23" s="278"/>
      <c r="T23" s="278"/>
      <c r="U23" s="278"/>
      <c r="V23" s="278"/>
      <c r="W23" s="278"/>
      <c r="X23" s="278"/>
    </row>
    <row r="24" spans="1:32" x14ac:dyDescent="0.3">
      <c r="A24" s="516"/>
      <c r="B24" s="453"/>
      <c r="C24" s="454"/>
      <c r="D24" s="454"/>
      <c r="E24" s="454"/>
      <c r="F24" s="454"/>
      <c r="G24" s="454"/>
      <c r="H24" s="454"/>
      <c r="I24" s="454"/>
      <c r="J24" s="454"/>
      <c r="K24" s="454"/>
      <c r="L24" s="455"/>
      <c r="N24" s="278"/>
      <c r="O24" s="278"/>
      <c r="P24" s="278"/>
      <c r="Q24" s="278"/>
      <c r="R24" s="278"/>
      <c r="S24" s="278"/>
      <c r="T24" s="278"/>
      <c r="U24" s="278"/>
      <c r="V24" s="278"/>
      <c r="W24" s="278"/>
      <c r="X24" s="278"/>
    </row>
    <row r="25" spans="1:32" ht="18.75" customHeight="1" thickBot="1" x14ac:dyDescent="0.35">
      <c r="A25" s="517"/>
      <c r="B25" s="456"/>
      <c r="C25" s="457"/>
      <c r="D25" s="457"/>
      <c r="E25" s="457"/>
      <c r="F25" s="457"/>
      <c r="G25" s="457"/>
      <c r="H25" s="457"/>
      <c r="I25" s="457"/>
      <c r="J25" s="457"/>
      <c r="K25" s="457"/>
      <c r="L25" s="458"/>
      <c r="N25" s="278"/>
      <c r="O25" s="278"/>
      <c r="P25" s="278"/>
      <c r="Q25" s="278"/>
      <c r="R25" s="278"/>
      <c r="S25" s="278"/>
      <c r="T25" s="278"/>
      <c r="U25" s="278"/>
      <c r="V25" s="278"/>
      <c r="W25" s="278"/>
      <c r="X25" s="278"/>
    </row>
    <row r="26" spans="1:32" ht="15" customHeight="1" x14ac:dyDescent="0.3">
      <c r="A26" s="515" t="s">
        <v>175</v>
      </c>
      <c r="B26" s="475" t="s">
        <v>331</v>
      </c>
      <c r="C26" s="451"/>
      <c r="D26" s="451"/>
      <c r="E26" s="451"/>
      <c r="F26" s="451"/>
      <c r="G26" s="451"/>
      <c r="H26" s="451"/>
      <c r="I26" s="451"/>
      <c r="J26" s="451"/>
      <c r="K26" s="451"/>
      <c r="L26" s="452"/>
      <c r="N26" s="278"/>
      <c r="O26" s="278"/>
      <c r="P26" s="278"/>
      <c r="Q26" s="278"/>
      <c r="R26" s="278"/>
      <c r="S26" s="278"/>
      <c r="T26" s="278"/>
      <c r="U26" s="278"/>
      <c r="V26" s="278"/>
      <c r="W26" s="278"/>
      <c r="X26" s="278"/>
    </row>
    <row r="27" spans="1:32" ht="15" customHeight="1" x14ac:dyDescent="0.3">
      <c r="A27" s="516"/>
      <c r="B27" s="453"/>
      <c r="C27" s="454"/>
      <c r="D27" s="454"/>
      <c r="E27" s="454"/>
      <c r="F27" s="454"/>
      <c r="G27" s="454"/>
      <c r="H27" s="454"/>
      <c r="I27" s="454"/>
      <c r="J27" s="454"/>
      <c r="K27" s="454"/>
      <c r="L27" s="455"/>
      <c r="N27" s="278"/>
      <c r="O27" s="278"/>
      <c r="P27" s="278"/>
      <c r="Q27" s="278"/>
      <c r="R27" s="278"/>
      <c r="S27" s="278"/>
      <c r="T27" s="278"/>
      <c r="U27" s="278"/>
      <c r="V27" s="278"/>
      <c r="W27" s="278"/>
      <c r="X27" s="278"/>
    </row>
    <row r="28" spans="1:32" ht="15" customHeight="1" x14ac:dyDescent="0.3">
      <c r="A28" s="516"/>
      <c r="B28" s="453"/>
      <c r="C28" s="454"/>
      <c r="D28" s="454"/>
      <c r="E28" s="454"/>
      <c r="F28" s="454"/>
      <c r="G28" s="454"/>
      <c r="H28" s="454"/>
      <c r="I28" s="454"/>
      <c r="J28" s="454"/>
      <c r="K28" s="454"/>
      <c r="L28" s="455"/>
      <c r="N28" s="278"/>
      <c r="O28" s="278"/>
      <c r="P28" s="278"/>
      <c r="Q28" s="278"/>
      <c r="R28" s="278"/>
      <c r="S28" s="278"/>
      <c r="T28" s="278"/>
      <c r="U28" s="278"/>
      <c r="V28" s="278"/>
      <c r="W28" s="278"/>
      <c r="X28" s="278"/>
    </row>
    <row r="29" spans="1:32" ht="15" customHeight="1" x14ac:dyDescent="0.3">
      <c r="A29" s="516"/>
      <c r="B29" s="453"/>
      <c r="C29" s="454"/>
      <c r="D29" s="454"/>
      <c r="E29" s="454"/>
      <c r="F29" s="454"/>
      <c r="G29" s="454"/>
      <c r="H29" s="454"/>
      <c r="I29" s="454"/>
      <c r="J29" s="454"/>
      <c r="K29" s="454"/>
      <c r="L29" s="455"/>
      <c r="N29" s="278"/>
      <c r="O29" s="278"/>
      <c r="P29" s="278"/>
      <c r="Q29" s="278"/>
      <c r="R29" s="278"/>
      <c r="S29" s="278"/>
      <c r="T29" s="278"/>
      <c r="U29" s="278"/>
      <c r="V29" s="278"/>
      <c r="W29" s="278"/>
      <c r="X29" s="278"/>
    </row>
    <row r="30" spans="1:32" ht="4.95" customHeight="1" x14ac:dyDescent="0.3">
      <c r="A30" s="516"/>
      <c r="B30" s="453"/>
      <c r="C30" s="454"/>
      <c r="D30" s="454"/>
      <c r="E30" s="454"/>
      <c r="F30" s="454"/>
      <c r="G30" s="454"/>
      <c r="H30" s="454"/>
      <c r="I30" s="454"/>
      <c r="J30" s="454"/>
      <c r="K30" s="454"/>
      <c r="L30" s="455"/>
      <c r="N30" s="278"/>
      <c r="O30" s="278"/>
      <c r="P30" s="278"/>
      <c r="Q30" s="278"/>
      <c r="R30" s="278"/>
      <c r="S30" s="278"/>
      <c r="T30" s="278"/>
      <c r="U30" s="278"/>
      <c r="V30" s="278"/>
      <c r="W30" s="278"/>
      <c r="X30" s="278"/>
    </row>
    <row r="31" spans="1:32" ht="6" customHeight="1" thickBot="1" x14ac:dyDescent="0.35">
      <c r="A31" s="516"/>
      <c r="B31" s="453"/>
      <c r="C31" s="454"/>
      <c r="D31" s="454"/>
      <c r="E31" s="454"/>
      <c r="F31" s="454"/>
      <c r="G31" s="454"/>
      <c r="H31" s="454"/>
      <c r="I31" s="454"/>
      <c r="J31" s="454"/>
      <c r="K31" s="454"/>
      <c r="L31" s="455"/>
      <c r="M31" s="316"/>
      <c r="N31" s="278"/>
      <c r="O31" s="278"/>
      <c r="P31" s="278"/>
      <c r="Q31" s="278"/>
      <c r="R31" s="278"/>
      <c r="S31" s="278"/>
      <c r="T31" s="278"/>
      <c r="U31" s="278"/>
      <c r="V31" s="278"/>
      <c r="W31" s="278"/>
      <c r="X31" s="278"/>
    </row>
    <row r="32" spans="1:32" ht="12.6" hidden="1" customHeight="1" thickBot="1" x14ac:dyDescent="0.35">
      <c r="A32" s="516"/>
      <c r="B32" s="453"/>
      <c r="C32" s="454"/>
      <c r="D32" s="454"/>
      <c r="E32" s="454"/>
      <c r="F32" s="454"/>
      <c r="G32" s="454"/>
      <c r="H32" s="454"/>
      <c r="I32" s="454"/>
      <c r="J32" s="454"/>
      <c r="K32" s="454"/>
      <c r="L32" s="455"/>
      <c r="N32" s="278"/>
      <c r="O32" s="278"/>
      <c r="P32" s="278"/>
      <c r="Q32" s="278"/>
      <c r="R32" s="278"/>
      <c r="S32" s="278"/>
      <c r="T32" s="278"/>
      <c r="U32" s="278"/>
      <c r="V32" s="278"/>
      <c r="W32" s="278"/>
      <c r="X32" s="278"/>
    </row>
    <row r="33" spans="1:32" ht="15" hidden="1" customHeight="1" thickBot="1" x14ac:dyDescent="0.35">
      <c r="A33" s="516"/>
      <c r="B33" s="453"/>
      <c r="C33" s="454"/>
      <c r="D33" s="454"/>
      <c r="E33" s="454"/>
      <c r="F33" s="454"/>
      <c r="G33" s="454"/>
      <c r="H33" s="454"/>
      <c r="I33" s="454"/>
      <c r="J33" s="454"/>
      <c r="K33" s="454"/>
      <c r="L33" s="455"/>
      <c r="N33" s="278"/>
      <c r="O33" s="278"/>
      <c r="P33" s="278"/>
      <c r="Q33" s="278"/>
      <c r="R33" s="278"/>
      <c r="S33" s="278"/>
      <c r="T33" s="278"/>
      <c r="U33" s="278"/>
      <c r="V33" s="278"/>
      <c r="W33" s="278"/>
      <c r="X33" s="278"/>
    </row>
    <row r="34" spans="1:32" s="102" customFormat="1" ht="15" hidden="1" customHeight="1" thickBot="1" x14ac:dyDescent="0.35">
      <c r="A34" s="516"/>
      <c r="B34" s="453"/>
      <c r="C34" s="454"/>
      <c r="D34" s="454"/>
      <c r="E34" s="454"/>
      <c r="F34" s="454"/>
      <c r="G34" s="454"/>
      <c r="H34" s="454"/>
      <c r="I34" s="454"/>
      <c r="J34" s="454"/>
      <c r="K34" s="454"/>
      <c r="L34" s="455"/>
      <c r="M34" s="278"/>
      <c r="N34" s="278"/>
      <c r="O34" s="278"/>
      <c r="P34" s="278"/>
      <c r="Q34" s="278"/>
      <c r="R34" s="278"/>
      <c r="S34" s="278"/>
      <c r="T34" s="278"/>
      <c r="U34" s="278"/>
      <c r="V34" s="278"/>
      <c r="W34" s="278"/>
      <c r="X34" s="278"/>
      <c r="Y34" s="278"/>
      <c r="Z34" s="278"/>
      <c r="AA34" s="278"/>
      <c r="AB34" s="278"/>
      <c r="AC34" s="278"/>
      <c r="AD34" s="278"/>
      <c r="AE34" s="278"/>
      <c r="AF34" s="278"/>
    </row>
    <row r="35" spans="1:32" ht="15" hidden="1" thickBot="1" x14ac:dyDescent="0.35">
      <c r="A35" s="517"/>
      <c r="B35" s="456"/>
      <c r="C35" s="457"/>
      <c r="D35" s="457"/>
      <c r="E35" s="457"/>
      <c r="F35" s="457"/>
      <c r="G35" s="457"/>
      <c r="H35" s="457"/>
      <c r="I35" s="457"/>
      <c r="J35" s="457"/>
      <c r="K35" s="457"/>
      <c r="L35" s="458"/>
      <c r="N35" s="278"/>
      <c r="O35" s="278"/>
      <c r="P35" s="278"/>
      <c r="Q35" s="278"/>
      <c r="R35" s="278"/>
      <c r="S35" s="278"/>
      <c r="T35" s="278"/>
      <c r="U35" s="278"/>
      <c r="V35" s="278"/>
      <c r="W35" s="278"/>
      <c r="X35" s="278"/>
    </row>
    <row r="36" spans="1:32" ht="15" customHeight="1" x14ac:dyDescent="0.3">
      <c r="A36" s="515" t="s">
        <v>175</v>
      </c>
      <c r="B36" s="475" t="s">
        <v>332</v>
      </c>
      <c r="C36" s="451"/>
      <c r="D36" s="451"/>
      <c r="E36" s="451"/>
      <c r="F36" s="451"/>
      <c r="G36" s="451"/>
      <c r="H36" s="451"/>
      <c r="I36" s="451"/>
      <c r="J36" s="451"/>
      <c r="K36" s="451"/>
      <c r="L36" s="452"/>
      <c r="N36" s="278"/>
      <c r="O36" s="278"/>
      <c r="P36" s="278"/>
      <c r="Q36" s="278"/>
      <c r="R36" s="278"/>
      <c r="S36" s="278"/>
      <c r="T36" s="278"/>
      <c r="U36" s="278"/>
      <c r="V36" s="278"/>
      <c r="W36" s="278"/>
      <c r="X36" s="278"/>
    </row>
    <row r="37" spans="1:32" ht="15" customHeight="1" x14ac:dyDescent="0.3">
      <c r="A37" s="516"/>
      <c r="B37" s="453"/>
      <c r="C37" s="454"/>
      <c r="D37" s="454"/>
      <c r="E37" s="454"/>
      <c r="F37" s="454"/>
      <c r="G37" s="454"/>
      <c r="H37" s="454"/>
      <c r="I37" s="454"/>
      <c r="J37" s="454"/>
      <c r="K37" s="454"/>
      <c r="L37" s="455"/>
      <c r="N37" s="278"/>
      <c r="O37" s="278"/>
      <c r="P37" s="278"/>
      <c r="Q37" s="278"/>
      <c r="R37" s="278"/>
      <c r="S37" s="278"/>
      <c r="T37" s="278"/>
      <c r="U37" s="278"/>
      <c r="V37" s="278"/>
      <c r="W37" s="278"/>
      <c r="X37" s="278"/>
    </row>
    <row r="38" spans="1:32" ht="15" customHeight="1" x14ac:dyDescent="0.3">
      <c r="A38" s="516"/>
      <c r="B38" s="453"/>
      <c r="C38" s="454"/>
      <c r="D38" s="454"/>
      <c r="E38" s="454"/>
      <c r="F38" s="454"/>
      <c r="G38" s="454"/>
      <c r="H38" s="454"/>
      <c r="I38" s="454"/>
      <c r="J38" s="454"/>
      <c r="K38" s="454"/>
      <c r="L38" s="455"/>
      <c r="N38" s="278"/>
      <c r="O38" s="278"/>
      <c r="P38" s="278"/>
      <c r="Q38" s="278"/>
      <c r="R38" s="278"/>
      <c r="S38" s="278"/>
      <c r="T38" s="278"/>
      <c r="U38" s="278"/>
      <c r="V38" s="278"/>
      <c r="W38" s="278"/>
      <c r="X38" s="278"/>
    </row>
    <row r="39" spans="1:32" ht="15" customHeight="1" x14ac:dyDescent="0.3">
      <c r="A39" s="516"/>
      <c r="B39" s="453"/>
      <c r="C39" s="454"/>
      <c r="D39" s="454"/>
      <c r="E39" s="454"/>
      <c r="F39" s="454"/>
      <c r="G39" s="454"/>
      <c r="H39" s="454"/>
      <c r="I39" s="454"/>
      <c r="J39" s="454"/>
      <c r="K39" s="454"/>
      <c r="L39" s="455"/>
      <c r="N39" s="278"/>
      <c r="O39" s="278"/>
      <c r="P39" s="278"/>
      <c r="Q39" s="278"/>
      <c r="R39" s="278"/>
      <c r="S39" s="278"/>
      <c r="T39" s="278"/>
      <c r="U39" s="278"/>
      <c r="V39" s="278"/>
      <c r="W39" s="278"/>
      <c r="X39" s="278"/>
    </row>
    <row r="40" spans="1:32" ht="15" customHeight="1" x14ac:dyDescent="0.3">
      <c r="A40" s="516"/>
      <c r="B40" s="453"/>
      <c r="C40" s="454"/>
      <c r="D40" s="454"/>
      <c r="E40" s="454"/>
      <c r="F40" s="454"/>
      <c r="G40" s="454"/>
      <c r="H40" s="454"/>
      <c r="I40" s="454"/>
      <c r="J40" s="454"/>
      <c r="K40" s="454"/>
      <c r="L40" s="455"/>
      <c r="N40" s="278"/>
      <c r="O40" s="278"/>
      <c r="P40" s="278"/>
      <c r="Q40" s="278"/>
      <c r="R40" s="278"/>
      <c r="S40" s="278"/>
      <c r="T40" s="278"/>
      <c r="U40" s="278"/>
      <c r="V40" s="278"/>
      <c r="W40" s="278"/>
      <c r="X40" s="278"/>
    </row>
    <row r="41" spans="1:32" ht="4.2" customHeight="1" x14ac:dyDescent="0.3">
      <c r="A41" s="516"/>
      <c r="B41" s="453"/>
      <c r="C41" s="454"/>
      <c r="D41" s="454"/>
      <c r="E41" s="454"/>
      <c r="F41" s="454"/>
      <c r="G41" s="454"/>
      <c r="H41" s="454"/>
      <c r="I41" s="454"/>
      <c r="J41" s="454"/>
      <c r="K41" s="454"/>
      <c r="L41" s="455"/>
      <c r="N41" s="278"/>
      <c r="O41" s="278"/>
      <c r="P41" s="278"/>
      <c r="Q41" s="278"/>
      <c r="R41" s="278"/>
      <c r="S41" s="278"/>
      <c r="T41" s="278"/>
      <c r="U41" s="278"/>
      <c r="V41" s="278"/>
      <c r="W41" s="278"/>
      <c r="X41" s="278"/>
    </row>
    <row r="42" spans="1:32" ht="15" hidden="1" customHeight="1" x14ac:dyDescent="0.3">
      <c r="A42" s="516"/>
      <c r="B42" s="453"/>
      <c r="C42" s="454"/>
      <c r="D42" s="454"/>
      <c r="E42" s="454"/>
      <c r="F42" s="454"/>
      <c r="G42" s="454"/>
      <c r="H42" s="454"/>
      <c r="I42" s="454"/>
      <c r="J42" s="454"/>
      <c r="K42" s="454"/>
      <c r="L42" s="455"/>
      <c r="N42" s="278"/>
      <c r="O42" s="278"/>
      <c r="P42" s="278"/>
      <c r="Q42" s="278"/>
      <c r="R42" s="278"/>
      <c r="S42" s="278"/>
      <c r="T42" s="278"/>
      <c r="U42" s="278"/>
      <c r="V42" s="278"/>
      <c r="W42" s="278"/>
      <c r="X42" s="278"/>
    </row>
    <row r="43" spans="1:32" ht="15" hidden="1" customHeight="1" x14ac:dyDescent="0.3">
      <c r="A43" s="516"/>
      <c r="B43" s="453"/>
      <c r="C43" s="454"/>
      <c r="D43" s="454"/>
      <c r="E43" s="454"/>
      <c r="F43" s="454"/>
      <c r="G43" s="454"/>
      <c r="H43" s="454"/>
      <c r="I43" s="454"/>
      <c r="J43" s="454"/>
      <c r="K43" s="454"/>
      <c r="L43" s="455"/>
      <c r="N43" s="278"/>
      <c r="O43" s="278"/>
      <c r="P43" s="278"/>
      <c r="Q43" s="278"/>
      <c r="R43" s="278"/>
      <c r="S43" s="278"/>
      <c r="T43" s="278"/>
      <c r="U43" s="278"/>
      <c r="V43" s="278"/>
      <c r="W43" s="278"/>
      <c r="X43" s="278"/>
    </row>
    <row r="44" spans="1:32" ht="15" hidden="1" customHeight="1" x14ac:dyDescent="0.3">
      <c r="A44" s="516"/>
      <c r="B44" s="453"/>
      <c r="C44" s="454"/>
      <c r="D44" s="454"/>
      <c r="E44" s="454"/>
      <c r="F44" s="454"/>
      <c r="G44" s="454"/>
      <c r="H44" s="454"/>
      <c r="I44" s="454"/>
      <c r="J44" s="454"/>
      <c r="K44" s="454"/>
      <c r="L44" s="455"/>
      <c r="N44" s="278"/>
      <c r="O44" s="278"/>
      <c r="P44" s="278"/>
      <c r="Q44" s="278"/>
      <c r="R44" s="278"/>
      <c r="S44" s="278"/>
      <c r="T44" s="278"/>
      <c r="U44" s="278"/>
      <c r="V44" s="278"/>
      <c r="W44" s="278"/>
      <c r="X44" s="278"/>
    </row>
    <row r="45" spans="1:32" ht="10.199999999999999" customHeight="1" thickBot="1" x14ac:dyDescent="0.35">
      <c r="A45" s="517"/>
      <c r="B45" s="456"/>
      <c r="C45" s="457"/>
      <c r="D45" s="457"/>
      <c r="E45" s="457"/>
      <c r="F45" s="457"/>
      <c r="G45" s="457"/>
      <c r="H45" s="457"/>
      <c r="I45" s="457"/>
      <c r="J45" s="457"/>
      <c r="K45" s="457"/>
      <c r="L45" s="458"/>
      <c r="N45" s="278"/>
      <c r="O45" s="278"/>
      <c r="P45" s="278"/>
      <c r="Q45" s="278"/>
      <c r="R45" s="278"/>
      <c r="S45" s="278"/>
      <c r="T45" s="278"/>
      <c r="U45" s="278"/>
      <c r="V45" s="278"/>
      <c r="W45" s="278"/>
      <c r="X45" s="278"/>
    </row>
    <row r="46" spans="1:32" ht="15" customHeight="1" x14ac:dyDescent="0.3">
      <c r="A46" s="278"/>
      <c r="B46" s="319"/>
      <c r="C46" s="319"/>
      <c r="D46" s="319"/>
      <c r="E46" s="319"/>
      <c r="F46" s="319"/>
      <c r="G46" s="319"/>
      <c r="H46" s="319"/>
      <c r="I46" s="319"/>
      <c r="J46" s="319"/>
      <c r="K46" s="319"/>
      <c r="L46" s="319"/>
      <c r="N46" s="278"/>
      <c r="O46" s="278"/>
      <c r="P46" s="278"/>
      <c r="Q46" s="278"/>
      <c r="R46" s="278"/>
      <c r="S46" s="278"/>
      <c r="T46" s="278"/>
      <c r="U46" s="278"/>
      <c r="V46" s="278"/>
      <c r="W46" s="278"/>
      <c r="X46" s="278"/>
    </row>
    <row r="47" spans="1:32" ht="15" customHeight="1" x14ac:dyDescent="0.3">
      <c r="A47" s="278"/>
      <c r="B47" s="319"/>
      <c r="C47" s="319"/>
      <c r="D47" s="319"/>
      <c r="E47" s="319"/>
      <c r="F47" s="319"/>
      <c r="G47" s="319"/>
      <c r="H47" s="319"/>
      <c r="I47" s="319"/>
      <c r="J47" s="319"/>
      <c r="K47" s="319"/>
      <c r="L47" s="319"/>
      <c r="N47" s="278"/>
      <c r="O47" s="278"/>
      <c r="P47" s="278"/>
      <c r="Q47" s="278"/>
      <c r="R47" s="278"/>
      <c r="S47" s="278"/>
      <c r="T47" s="278"/>
      <c r="U47" s="278"/>
      <c r="V47" s="278"/>
      <c r="W47" s="278"/>
      <c r="X47" s="278"/>
    </row>
    <row r="48" spans="1:32" ht="15" customHeight="1" x14ac:dyDescent="0.3">
      <c r="A48" s="278"/>
      <c r="B48" s="319"/>
      <c r="C48" s="319"/>
      <c r="D48" s="319"/>
      <c r="E48" s="319"/>
      <c r="F48" s="319"/>
      <c r="G48" s="319"/>
      <c r="H48" s="319"/>
      <c r="I48" s="319"/>
      <c r="J48" s="319"/>
      <c r="K48" s="319"/>
      <c r="L48" s="319"/>
      <c r="N48" s="278"/>
      <c r="O48" s="278"/>
      <c r="P48" s="278"/>
      <c r="Q48" s="278"/>
      <c r="R48" s="278"/>
      <c r="S48" s="278"/>
      <c r="T48" s="278"/>
      <c r="U48" s="278"/>
      <c r="V48" s="278"/>
      <c r="W48" s="278"/>
      <c r="X48" s="278"/>
    </row>
    <row r="49" spans="1:24" ht="15" customHeight="1" x14ac:dyDescent="0.3">
      <c r="A49" s="278"/>
      <c r="B49" s="319"/>
      <c r="C49" s="319"/>
      <c r="D49" s="319"/>
      <c r="E49" s="319"/>
      <c r="F49" s="319"/>
      <c r="G49" s="319"/>
      <c r="H49" s="319"/>
      <c r="I49" s="319"/>
      <c r="J49" s="319"/>
      <c r="K49" s="319"/>
      <c r="L49" s="319"/>
      <c r="N49" s="278"/>
      <c r="O49" s="278"/>
      <c r="P49" s="278"/>
      <c r="Q49" s="278"/>
      <c r="R49" s="278"/>
      <c r="S49" s="278"/>
      <c r="T49" s="278"/>
      <c r="U49" s="278"/>
      <c r="V49" s="278"/>
      <c r="W49" s="278"/>
      <c r="X49" s="278"/>
    </row>
    <row r="50" spans="1:24" x14ac:dyDescent="0.3">
      <c r="A50" s="278"/>
      <c r="B50" s="278"/>
      <c r="C50" s="278"/>
      <c r="D50" s="278"/>
      <c r="E50" s="278"/>
      <c r="F50" s="278"/>
      <c r="G50" s="278"/>
      <c r="H50" s="278"/>
      <c r="I50" s="278"/>
      <c r="J50" s="278"/>
      <c r="K50" s="278"/>
      <c r="L50" s="278"/>
      <c r="N50" s="278"/>
      <c r="O50" s="278"/>
      <c r="P50" s="278"/>
      <c r="Q50" s="278"/>
      <c r="R50" s="278"/>
      <c r="S50" s="278"/>
      <c r="T50" s="278"/>
      <c r="U50" s="278"/>
      <c r="V50" s="278"/>
      <c r="W50" s="278"/>
      <c r="X50" s="278"/>
    </row>
    <row r="51" spans="1:24" x14ac:dyDescent="0.3">
      <c r="A51" s="278"/>
      <c r="B51" s="278"/>
      <c r="C51" s="278"/>
      <c r="D51" s="278"/>
      <c r="E51" s="278"/>
      <c r="F51" s="278"/>
      <c r="G51" s="278"/>
      <c r="H51" s="278"/>
      <c r="I51" s="278"/>
      <c r="J51" s="278"/>
      <c r="K51" s="278"/>
      <c r="L51" s="278"/>
      <c r="N51" s="278"/>
      <c r="O51" s="278"/>
      <c r="P51" s="278"/>
      <c r="Q51" s="278"/>
      <c r="R51" s="278"/>
      <c r="S51" s="278"/>
      <c r="T51" s="278"/>
      <c r="U51" s="278"/>
      <c r="V51" s="278"/>
      <c r="W51" s="278"/>
      <c r="X51" s="278"/>
    </row>
    <row r="52" spans="1:24" x14ac:dyDescent="0.3">
      <c r="A52" s="278"/>
      <c r="B52" s="278"/>
      <c r="C52" s="278"/>
      <c r="D52" s="278"/>
      <c r="E52" s="278"/>
      <c r="F52" s="278"/>
      <c r="G52" s="278"/>
      <c r="H52" s="278"/>
      <c r="I52" s="278"/>
      <c r="J52" s="278"/>
      <c r="K52" s="278"/>
      <c r="L52" s="278"/>
      <c r="N52" s="278"/>
      <c r="O52" s="278"/>
      <c r="P52" s="278"/>
      <c r="Q52" s="278"/>
      <c r="R52" s="278"/>
      <c r="S52" s="278"/>
      <c r="T52" s="278"/>
      <c r="U52" s="278"/>
      <c r="V52" s="278"/>
      <c r="W52" s="278"/>
      <c r="X52" s="278"/>
    </row>
    <row r="53" spans="1:24" x14ac:dyDescent="0.3">
      <c r="A53" s="278"/>
      <c r="B53" s="278"/>
      <c r="C53" s="278"/>
      <c r="D53" s="278"/>
      <c r="E53" s="278"/>
      <c r="F53" s="278"/>
      <c r="G53" s="278"/>
      <c r="H53" s="278"/>
      <c r="I53" s="278"/>
      <c r="J53" s="278"/>
      <c r="K53" s="278"/>
      <c r="L53" s="278"/>
      <c r="N53" s="278"/>
      <c r="O53" s="278"/>
      <c r="P53" s="278"/>
      <c r="Q53" s="278"/>
      <c r="R53" s="278"/>
      <c r="S53" s="278"/>
      <c r="T53" s="278"/>
      <c r="U53" s="278"/>
      <c r="V53" s="278"/>
      <c r="W53" s="278"/>
      <c r="X53" s="278"/>
    </row>
    <row r="54" spans="1:24" x14ac:dyDescent="0.3">
      <c r="A54" s="278"/>
      <c r="B54" s="278"/>
      <c r="C54" s="278"/>
      <c r="D54" s="278"/>
      <c r="E54" s="278"/>
      <c r="F54" s="278"/>
      <c r="G54" s="278"/>
      <c r="H54" s="278"/>
      <c r="I54" s="278"/>
      <c r="J54" s="278"/>
      <c r="K54" s="278"/>
      <c r="L54" s="278"/>
      <c r="N54" s="278"/>
      <c r="O54" s="278"/>
      <c r="P54" s="278"/>
      <c r="Q54" s="278"/>
      <c r="R54" s="278"/>
      <c r="S54" s="278"/>
      <c r="T54" s="278"/>
      <c r="U54" s="278"/>
      <c r="V54" s="278"/>
      <c r="W54" s="278"/>
      <c r="X54" s="278"/>
    </row>
    <row r="55" spans="1:24" x14ac:dyDescent="0.3">
      <c r="A55" s="278"/>
      <c r="B55" s="278"/>
      <c r="C55" s="278"/>
      <c r="D55" s="278"/>
      <c r="E55" s="278"/>
      <c r="F55" s="278"/>
      <c r="G55" s="278"/>
      <c r="H55" s="278"/>
      <c r="I55" s="278"/>
      <c r="J55" s="278"/>
      <c r="K55" s="278"/>
      <c r="L55" s="278"/>
      <c r="N55" s="278"/>
      <c r="O55" s="278"/>
      <c r="P55" s="278"/>
      <c r="Q55" s="278"/>
      <c r="R55" s="278"/>
      <c r="S55" s="278"/>
      <c r="T55" s="278"/>
      <c r="U55" s="278"/>
      <c r="V55" s="278"/>
      <c r="W55" s="278"/>
      <c r="X55" s="278"/>
    </row>
    <row r="56" spans="1:24" x14ac:dyDescent="0.3">
      <c r="A56" s="278"/>
      <c r="B56" s="278"/>
      <c r="C56" s="278"/>
      <c r="D56" s="278"/>
      <c r="E56" s="278"/>
      <c r="F56" s="278"/>
      <c r="G56" s="278"/>
      <c r="H56" s="278"/>
      <c r="I56" s="278"/>
      <c r="J56" s="278"/>
      <c r="K56" s="278"/>
      <c r="L56" s="278"/>
      <c r="N56" s="278"/>
      <c r="O56" s="278"/>
      <c r="P56" s="278"/>
      <c r="Q56" s="278"/>
      <c r="R56" s="278"/>
      <c r="S56" s="278"/>
      <c r="T56" s="278"/>
      <c r="U56" s="278"/>
      <c r="V56" s="278"/>
      <c r="W56" s="278"/>
      <c r="X56" s="278"/>
    </row>
    <row r="57" spans="1:24" x14ac:dyDescent="0.3">
      <c r="A57" s="278"/>
      <c r="B57" s="278"/>
      <c r="C57" s="278"/>
      <c r="D57" s="278"/>
      <c r="E57" s="278"/>
      <c r="F57" s="278"/>
      <c r="G57" s="278"/>
      <c r="H57" s="278"/>
      <c r="I57" s="278"/>
      <c r="J57" s="278"/>
      <c r="K57" s="278"/>
      <c r="L57" s="278"/>
      <c r="N57" s="278"/>
      <c r="O57" s="278"/>
      <c r="P57" s="278"/>
      <c r="Q57" s="278"/>
      <c r="R57" s="278"/>
      <c r="S57" s="278"/>
      <c r="T57" s="278"/>
      <c r="U57" s="278"/>
      <c r="V57" s="278"/>
      <c r="W57" s="278"/>
      <c r="X57" s="278"/>
    </row>
    <row r="58" spans="1:24" x14ac:dyDescent="0.3">
      <c r="A58" s="278"/>
      <c r="B58" s="278"/>
      <c r="C58" s="278"/>
      <c r="D58" s="278"/>
      <c r="E58" s="278"/>
      <c r="F58" s="278"/>
      <c r="G58" s="278"/>
      <c r="H58" s="278"/>
      <c r="I58" s="278"/>
      <c r="J58" s="278"/>
      <c r="K58" s="278"/>
      <c r="L58" s="278"/>
      <c r="N58" s="278"/>
      <c r="O58" s="278"/>
      <c r="P58" s="278"/>
      <c r="Q58" s="278"/>
      <c r="R58" s="278"/>
      <c r="S58" s="278"/>
      <c r="T58" s="278"/>
      <c r="U58" s="278"/>
      <c r="V58" s="278"/>
      <c r="W58" s="278"/>
      <c r="X58" s="278"/>
    </row>
    <row r="59" spans="1:24" x14ac:dyDescent="0.3">
      <c r="A59" s="278"/>
      <c r="B59" s="278"/>
      <c r="C59" s="278"/>
      <c r="D59" s="278"/>
      <c r="E59" s="278"/>
      <c r="F59" s="278"/>
      <c r="G59" s="278"/>
      <c r="H59" s="278"/>
      <c r="I59" s="278"/>
      <c r="J59" s="278"/>
      <c r="K59" s="278"/>
      <c r="L59" s="278"/>
      <c r="N59" s="278"/>
      <c r="O59" s="278"/>
      <c r="P59" s="278"/>
      <c r="Q59" s="278"/>
      <c r="R59" s="278"/>
      <c r="S59" s="278"/>
      <c r="T59" s="278"/>
      <c r="U59" s="278"/>
      <c r="V59" s="278"/>
      <c r="W59" s="278"/>
      <c r="X59" s="278"/>
    </row>
    <row r="60" spans="1:24" x14ac:dyDescent="0.3">
      <c r="A60" s="278"/>
      <c r="B60" s="278"/>
      <c r="C60" s="278"/>
      <c r="D60" s="278"/>
      <c r="E60" s="278"/>
      <c r="F60" s="278"/>
      <c r="G60" s="278"/>
      <c r="H60" s="278"/>
      <c r="I60" s="278"/>
      <c r="J60" s="278"/>
      <c r="K60" s="278"/>
      <c r="L60" s="278"/>
      <c r="N60" s="278"/>
      <c r="O60" s="278"/>
      <c r="P60" s="278"/>
      <c r="Q60" s="278"/>
      <c r="R60" s="278"/>
      <c r="S60" s="278"/>
      <c r="T60" s="278"/>
      <c r="U60" s="278"/>
      <c r="V60" s="278"/>
      <c r="W60" s="278"/>
      <c r="X60" s="278"/>
    </row>
    <row r="61" spans="1:24" x14ac:dyDescent="0.3">
      <c r="A61" s="278"/>
      <c r="B61" s="278"/>
      <c r="C61" s="278"/>
      <c r="D61" s="278"/>
      <c r="E61" s="278"/>
      <c r="F61" s="278"/>
      <c r="G61" s="278"/>
      <c r="H61" s="278"/>
      <c r="I61" s="278"/>
      <c r="J61" s="278"/>
      <c r="K61" s="278"/>
      <c r="L61" s="278"/>
      <c r="N61" s="278"/>
      <c r="O61" s="278"/>
      <c r="P61" s="278"/>
      <c r="Q61" s="278"/>
      <c r="R61" s="278"/>
      <c r="S61" s="278"/>
      <c r="T61" s="278"/>
      <c r="U61" s="278"/>
      <c r="V61" s="278"/>
      <c r="W61" s="278"/>
      <c r="X61" s="278"/>
    </row>
    <row r="62" spans="1:24" x14ac:dyDescent="0.3">
      <c r="A62" s="278"/>
      <c r="B62" s="278"/>
      <c r="C62" s="278"/>
      <c r="D62" s="278"/>
      <c r="E62" s="278"/>
      <c r="F62" s="278"/>
      <c r="G62" s="278"/>
      <c r="H62" s="278"/>
      <c r="I62" s="278"/>
      <c r="J62" s="278"/>
      <c r="K62" s="278"/>
      <c r="L62" s="278"/>
      <c r="N62" s="278"/>
      <c r="O62" s="278"/>
      <c r="P62" s="278"/>
      <c r="Q62" s="278"/>
      <c r="R62" s="278"/>
      <c r="S62" s="278"/>
      <c r="T62" s="278"/>
      <c r="U62" s="278"/>
      <c r="V62" s="278"/>
      <c r="W62" s="278"/>
      <c r="X62" s="278"/>
    </row>
    <row r="63" spans="1:24" x14ac:dyDescent="0.3">
      <c r="A63" s="278"/>
      <c r="B63" s="278"/>
      <c r="C63" s="278"/>
      <c r="D63" s="278"/>
      <c r="E63" s="278"/>
      <c r="F63" s="278"/>
      <c r="G63" s="278"/>
      <c r="H63" s="278"/>
      <c r="I63" s="278"/>
      <c r="J63" s="278"/>
      <c r="K63" s="278"/>
      <c r="L63" s="278"/>
      <c r="N63" s="278"/>
      <c r="O63" s="278"/>
      <c r="P63" s="278"/>
      <c r="Q63" s="278"/>
      <c r="R63" s="278"/>
      <c r="S63" s="278"/>
      <c r="T63" s="278"/>
      <c r="U63" s="278"/>
      <c r="V63" s="278"/>
      <c r="W63" s="278"/>
      <c r="X63" s="278"/>
    </row>
    <row r="64" spans="1:24" x14ac:dyDescent="0.3">
      <c r="A64" s="278"/>
      <c r="B64" s="278"/>
      <c r="C64" s="278"/>
      <c r="D64" s="278"/>
      <c r="E64" s="278"/>
      <c r="F64" s="278"/>
      <c r="G64" s="278"/>
      <c r="H64" s="278"/>
      <c r="I64" s="278"/>
      <c r="J64" s="278"/>
      <c r="K64" s="278"/>
      <c r="L64" s="278"/>
      <c r="N64" s="278"/>
      <c r="O64" s="278"/>
      <c r="P64" s="278"/>
      <c r="Q64" s="278"/>
      <c r="R64" s="278"/>
      <c r="S64" s="278"/>
      <c r="T64" s="278"/>
      <c r="U64" s="278"/>
      <c r="V64" s="278"/>
      <c r="W64" s="278"/>
      <c r="X64" s="278"/>
    </row>
    <row r="65" spans="1:24" x14ac:dyDescent="0.3">
      <c r="A65" s="278"/>
      <c r="B65" s="278"/>
      <c r="C65" s="278"/>
      <c r="D65" s="278"/>
      <c r="E65" s="278"/>
      <c r="F65" s="278"/>
      <c r="G65" s="278"/>
      <c r="H65" s="278"/>
      <c r="I65" s="278"/>
      <c r="J65" s="278"/>
      <c r="K65" s="278"/>
      <c r="L65" s="278"/>
      <c r="N65" s="278"/>
      <c r="O65" s="278"/>
      <c r="P65" s="278"/>
      <c r="Q65" s="278"/>
      <c r="R65" s="278"/>
      <c r="S65" s="278"/>
      <c r="T65" s="278"/>
      <c r="U65" s="278"/>
      <c r="V65" s="278"/>
      <c r="W65" s="278"/>
      <c r="X65" s="278"/>
    </row>
    <row r="66" spans="1:24" x14ac:dyDescent="0.3">
      <c r="A66" s="278"/>
      <c r="B66" s="278"/>
      <c r="C66" s="278"/>
      <c r="D66" s="278"/>
      <c r="E66" s="278"/>
      <c r="F66" s="278"/>
      <c r="G66" s="278"/>
      <c r="H66" s="278"/>
      <c r="I66" s="278"/>
      <c r="J66" s="278"/>
      <c r="K66" s="278"/>
      <c r="L66" s="278"/>
      <c r="N66" s="278"/>
      <c r="O66" s="278"/>
      <c r="P66" s="278"/>
      <c r="Q66" s="278"/>
      <c r="R66" s="278"/>
      <c r="S66" s="278"/>
      <c r="T66" s="278"/>
      <c r="U66" s="278"/>
      <c r="V66" s="278"/>
      <c r="W66" s="278"/>
      <c r="X66" s="278"/>
    </row>
    <row r="67" spans="1:24" x14ac:dyDescent="0.3">
      <c r="A67" s="278"/>
      <c r="B67" s="278"/>
      <c r="C67" s="278"/>
      <c r="D67" s="278"/>
      <c r="E67" s="278"/>
      <c r="F67" s="278"/>
      <c r="G67" s="278"/>
      <c r="H67" s="278"/>
      <c r="I67" s="278"/>
      <c r="J67" s="278"/>
      <c r="K67" s="278"/>
      <c r="L67" s="278"/>
      <c r="N67" s="278"/>
      <c r="O67" s="278"/>
      <c r="P67" s="278"/>
      <c r="Q67" s="278"/>
      <c r="R67" s="278"/>
      <c r="S67" s="278"/>
      <c r="T67" s="278"/>
      <c r="U67" s="278"/>
      <c r="V67" s="278"/>
      <c r="W67" s="278"/>
      <c r="X67" s="278"/>
    </row>
    <row r="68" spans="1:24" x14ac:dyDescent="0.3">
      <c r="A68" s="278"/>
      <c r="B68" s="278"/>
      <c r="C68" s="278"/>
      <c r="D68" s="278"/>
      <c r="E68" s="278"/>
      <c r="F68" s="278"/>
      <c r="G68" s="278"/>
      <c r="H68" s="278"/>
      <c r="I68" s="278"/>
      <c r="J68" s="278"/>
      <c r="K68" s="278"/>
      <c r="L68" s="278"/>
      <c r="N68" s="278"/>
      <c r="O68" s="278"/>
      <c r="P68" s="278"/>
      <c r="Q68" s="278"/>
      <c r="R68" s="278"/>
      <c r="S68" s="278"/>
      <c r="T68" s="278"/>
      <c r="U68" s="278"/>
      <c r="V68" s="278"/>
      <c r="W68" s="278"/>
      <c r="X68" s="278"/>
    </row>
    <row r="69" spans="1:24" x14ac:dyDescent="0.3">
      <c r="A69" s="278"/>
      <c r="B69" s="278"/>
      <c r="C69" s="278"/>
      <c r="D69" s="278"/>
      <c r="E69" s="278"/>
      <c r="F69" s="278"/>
      <c r="G69" s="278"/>
      <c r="H69" s="278"/>
      <c r="I69" s="278"/>
      <c r="J69" s="278"/>
      <c r="K69" s="278"/>
      <c r="L69" s="278"/>
      <c r="N69" s="278"/>
      <c r="O69" s="278"/>
      <c r="P69" s="278"/>
      <c r="Q69" s="278"/>
      <c r="R69" s="278"/>
      <c r="S69" s="278"/>
      <c r="T69" s="278"/>
      <c r="U69" s="278"/>
      <c r="V69" s="278"/>
      <c r="W69" s="278"/>
      <c r="X69" s="278"/>
    </row>
    <row r="70" spans="1:24" x14ac:dyDescent="0.3">
      <c r="A70" s="278"/>
      <c r="B70" s="278"/>
      <c r="C70" s="278"/>
      <c r="D70" s="278"/>
      <c r="E70" s="278"/>
      <c r="F70" s="278"/>
      <c r="G70" s="278"/>
      <c r="H70" s="278"/>
      <c r="I70" s="278"/>
      <c r="J70" s="278"/>
      <c r="K70" s="278"/>
      <c r="L70" s="278"/>
      <c r="N70" s="278"/>
      <c r="O70" s="278"/>
      <c r="P70" s="278"/>
      <c r="Q70" s="278"/>
      <c r="R70" s="278"/>
      <c r="S70" s="278"/>
      <c r="T70" s="278"/>
      <c r="U70" s="278"/>
      <c r="V70" s="278"/>
      <c r="W70" s="278"/>
      <c r="X70" s="278"/>
    </row>
    <row r="71" spans="1:24" x14ac:dyDescent="0.3">
      <c r="A71" s="278"/>
      <c r="B71" s="278"/>
      <c r="C71" s="278"/>
      <c r="D71" s="278"/>
      <c r="E71" s="278"/>
      <c r="F71" s="278"/>
      <c r="G71" s="278"/>
      <c r="H71" s="278"/>
      <c r="I71" s="278"/>
      <c r="J71" s="278"/>
      <c r="K71" s="278"/>
      <c r="L71" s="278"/>
      <c r="N71" s="278"/>
      <c r="O71" s="278"/>
      <c r="P71" s="278"/>
      <c r="Q71" s="278"/>
      <c r="R71" s="278"/>
      <c r="S71" s="278"/>
      <c r="T71" s="278"/>
      <c r="U71" s="278"/>
      <c r="V71" s="278"/>
      <c r="W71" s="278"/>
      <c r="X71" s="278"/>
    </row>
    <row r="72" spans="1:24" x14ac:dyDescent="0.3">
      <c r="A72" s="278"/>
      <c r="B72" s="278"/>
      <c r="C72" s="278"/>
      <c r="D72" s="278"/>
      <c r="E72" s="278"/>
      <c r="F72" s="278"/>
      <c r="G72" s="278"/>
      <c r="H72" s="278"/>
      <c r="I72" s="278"/>
      <c r="J72" s="278"/>
      <c r="K72" s="278"/>
      <c r="L72" s="278"/>
      <c r="N72" s="278"/>
      <c r="O72" s="278"/>
      <c r="P72" s="278"/>
      <c r="Q72" s="278"/>
      <c r="R72" s="278"/>
      <c r="S72" s="278"/>
      <c r="T72" s="278"/>
      <c r="U72" s="278"/>
      <c r="V72" s="278"/>
      <c r="W72" s="278"/>
      <c r="X72" s="278"/>
    </row>
    <row r="73" spans="1:24" x14ac:dyDescent="0.3">
      <c r="A73" s="278"/>
      <c r="B73" s="278"/>
      <c r="C73" s="278"/>
      <c r="D73" s="278"/>
      <c r="E73" s="278"/>
      <c r="F73" s="278"/>
      <c r="G73" s="278"/>
      <c r="H73" s="278"/>
      <c r="I73" s="278"/>
      <c r="J73" s="278"/>
      <c r="K73" s="278"/>
      <c r="L73" s="278"/>
      <c r="N73" s="278"/>
      <c r="O73" s="278"/>
      <c r="P73" s="278"/>
      <c r="Q73" s="278"/>
      <c r="R73" s="278"/>
      <c r="S73" s="278"/>
      <c r="T73" s="278"/>
      <c r="U73" s="278"/>
      <c r="V73" s="278"/>
      <c r="W73" s="278"/>
      <c r="X73" s="278"/>
    </row>
    <row r="74" spans="1:24" x14ac:dyDescent="0.3">
      <c r="A74" s="278"/>
      <c r="B74" s="278"/>
      <c r="C74" s="278"/>
      <c r="D74" s="278"/>
      <c r="E74" s="278"/>
      <c r="F74" s="278"/>
      <c r="G74" s="278"/>
      <c r="H74" s="278"/>
      <c r="I74" s="278"/>
      <c r="J74" s="278"/>
      <c r="K74" s="278"/>
      <c r="L74" s="278"/>
      <c r="N74" s="278"/>
      <c r="O74" s="278"/>
      <c r="P74" s="278"/>
      <c r="Q74" s="278"/>
      <c r="R74" s="278"/>
      <c r="S74" s="278"/>
      <c r="T74" s="278"/>
      <c r="U74" s="278"/>
      <c r="V74" s="278"/>
      <c r="W74" s="278"/>
      <c r="X74" s="278"/>
    </row>
    <row r="75" spans="1:24" x14ac:dyDescent="0.3">
      <c r="A75" s="278"/>
      <c r="B75" s="278"/>
      <c r="C75" s="278"/>
      <c r="D75" s="278"/>
      <c r="E75" s="278"/>
      <c r="F75" s="278"/>
      <c r="G75" s="278"/>
      <c r="H75" s="278"/>
      <c r="I75" s="278"/>
      <c r="J75" s="278"/>
      <c r="K75" s="278"/>
      <c r="L75" s="278"/>
      <c r="N75" s="278"/>
      <c r="O75" s="278"/>
      <c r="P75" s="278"/>
      <c r="Q75" s="278"/>
      <c r="R75" s="278"/>
      <c r="S75" s="278"/>
      <c r="T75" s="278"/>
      <c r="U75" s="278"/>
      <c r="V75" s="278"/>
      <c r="W75" s="278"/>
      <c r="X75" s="278"/>
    </row>
  </sheetData>
  <sheetProtection sheet="1" objects="1" scenarios="1"/>
  <mergeCells count="14">
    <mergeCell ref="A36:A45"/>
    <mergeCell ref="B36:L45"/>
    <mergeCell ref="B26:L35"/>
    <mergeCell ref="A26:A35"/>
    <mergeCell ref="A1:L1"/>
    <mergeCell ref="A19:L19"/>
    <mergeCell ref="B20:L25"/>
    <mergeCell ref="B4:L11"/>
    <mergeCell ref="A20:A25"/>
    <mergeCell ref="A13:L13"/>
    <mergeCell ref="A3:L3"/>
    <mergeCell ref="A4:A11"/>
    <mergeCell ref="A14:A18"/>
    <mergeCell ref="B14:L18"/>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K55"/>
  <sheetViews>
    <sheetView workbookViewId="0">
      <selection activeCell="D1" sqref="D1:N1"/>
    </sheetView>
  </sheetViews>
  <sheetFormatPr defaultRowHeight="14.4" x14ac:dyDescent="0.3"/>
  <cols>
    <col min="1" max="3" width="1.6640625" style="278" customWidth="1"/>
    <col min="4" max="4" width="32" customWidth="1"/>
    <col min="5" max="5" width="9.33203125" bestFit="1" customWidth="1"/>
    <col min="6" max="6" width="10.5546875" bestFit="1" customWidth="1"/>
    <col min="7" max="7" width="10.5546875" customWidth="1"/>
    <col min="8" max="8" width="11.109375" customWidth="1"/>
    <col min="9" max="9" width="11.109375" bestFit="1" customWidth="1"/>
    <col min="10" max="10" width="9" bestFit="1" customWidth="1"/>
    <col min="11" max="11" width="12.44140625" customWidth="1"/>
    <col min="12" max="12" width="11.109375" bestFit="1" customWidth="1"/>
    <col min="13" max="13" width="8.109375" bestFit="1" customWidth="1"/>
    <col min="14" max="14" width="10.88671875" customWidth="1"/>
    <col min="15" max="15" width="10.88671875" style="278" customWidth="1"/>
    <col min="16" max="37" width="9.109375" style="278"/>
  </cols>
  <sheetData>
    <row r="1" spans="4:16" ht="18.600000000000001" thickBot="1" x14ac:dyDescent="0.4">
      <c r="D1" s="600" t="s">
        <v>363</v>
      </c>
      <c r="E1" s="601"/>
      <c r="F1" s="601"/>
      <c r="G1" s="601"/>
      <c r="H1" s="601"/>
      <c r="I1" s="601"/>
      <c r="J1" s="601"/>
      <c r="K1" s="601"/>
      <c r="L1" s="601"/>
      <c r="M1" s="601"/>
      <c r="N1" s="602"/>
      <c r="O1" s="331"/>
    </row>
    <row r="2" spans="4:16" ht="67.5" customHeight="1" thickBot="1" x14ac:dyDescent="0.35">
      <c r="D2" s="192" t="s">
        <v>212</v>
      </c>
      <c r="E2" s="193" t="s">
        <v>213</v>
      </c>
      <c r="F2" s="194" t="s">
        <v>214</v>
      </c>
      <c r="G2" s="194" t="s">
        <v>215</v>
      </c>
      <c r="H2" s="194" t="s">
        <v>216</v>
      </c>
      <c r="I2" s="194" t="s">
        <v>217</v>
      </c>
      <c r="J2" s="194" t="s">
        <v>218</v>
      </c>
      <c r="K2" s="194" t="s">
        <v>219</v>
      </c>
      <c r="L2" s="193" t="s">
        <v>220</v>
      </c>
      <c r="M2" s="193" t="s">
        <v>221</v>
      </c>
      <c r="N2" s="195" t="s">
        <v>222</v>
      </c>
      <c r="O2" s="331" t="s">
        <v>286</v>
      </c>
    </row>
    <row r="3" spans="4:16" ht="15.6" x14ac:dyDescent="0.3">
      <c r="D3" s="196" t="s">
        <v>223</v>
      </c>
      <c r="E3" s="197" t="s">
        <v>224</v>
      </c>
      <c r="F3" s="300">
        <f>O3*P$3</f>
        <v>65653</v>
      </c>
      <c r="G3" s="301">
        <v>7</v>
      </c>
      <c r="H3" s="198">
        <f>0.15*F3</f>
        <v>9847.9499999999989</v>
      </c>
      <c r="I3" s="198">
        <f>H3/(1+J3)^G3</f>
        <v>6998.7542050549291</v>
      </c>
      <c r="J3" s="303">
        <v>0.05</v>
      </c>
      <c r="K3" s="198">
        <f>(F3-I3)/((1-(1/(1+J3)^G3))/J3)</f>
        <v>10136.616109379478</v>
      </c>
      <c r="L3" s="198">
        <f t="shared" ref="L3:L13" si="0">0.0025*F3</f>
        <v>164.13249999999999</v>
      </c>
      <c r="M3" s="198">
        <f>0*F3</f>
        <v>0</v>
      </c>
      <c r="N3" s="199">
        <f>K3+L3+M3*1.13</f>
        <v>10300.748609379478</v>
      </c>
      <c r="O3" s="300">
        <v>46895</v>
      </c>
      <c r="P3" s="344">
        <v>1.4</v>
      </c>
    </row>
    <row r="4" spans="4:16" ht="15.6" x14ac:dyDescent="0.3">
      <c r="D4" s="196" t="s">
        <v>225</v>
      </c>
      <c r="E4" s="197" t="s">
        <v>224</v>
      </c>
      <c r="F4" s="300">
        <f t="shared" ref="F4:F13" si="1">O4*P$3</f>
        <v>45878</v>
      </c>
      <c r="G4" s="301">
        <v>6</v>
      </c>
      <c r="H4" s="198">
        <f>0.15*F4</f>
        <v>6881.7</v>
      </c>
      <c r="I4" s="198">
        <f t="shared" ref="I4:I13" si="2">H4/(1+J4)^G4</f>
        <v>5135.2304950342805</v>
      </c>
      <c r="J4" s="303">
        <v>0.05</v>
      </c>
      <c r="K4" s="198">
        <f>(F4-I4)/((1-(1/(1+J4)^G4))/J4)</f>
        <v>8027.037291665335</v>
      </c>
      <c r="L4" s="198">
        <f t="shared" si="0"/>
        <v>114.69500000000001</v>
      </c>
      <c r="M4" s="198">
        <f t="shared" ref="M4:M13" si="3">0*F4</f>
        <v>0</v>
      </c>
      <c r="N4" s="199">
        <f t="shared" ref="N4:N11" si="4">K4+L4+M4*1.13</f>
        <v>8141.7322916653347</v>
      </c>
      <c r="O4" s="300">
        <v>32770</v>
      </c>
    </row>
    <row r="5" spans="4:16" ht="15.6" x14ac:dyDescent="0.3">
      <c r="D5" s="196" t="s">
        <v>226</v>
      </c>
      <c r="E5" s="207">
        <v>2001</v>
      </c>
      <c r="F5" s="300">
        <f t="shared" si="1"/>
        <v>11627.699999999999</v>
      </c>
      <c r="G5" s="301">
        <v>6</v>
      </c>
      <c r="H5" s="198">
        <f>0.15*F5</f>
        <v>1744.1549999999997</v>
      </c>
      <c r="I5" s="198">
        <f t="shared" si="2"/>
        <v>1301.5153151207571</v>
      </c>
      <c r="J5" s="303">
        <v>0.05</v>
      </c>
      <c r="K5" s="198">
        <f>(F5-I5)/((1-(1/(1+J5)^G5))/J5)</f>
        <v>2034.4387618531105</v>
      </c>
      <c r="L5" s="198">
        <f t="shared" si="0"/>
        <v>29.069249999999997</v>
      </c>
      <c r="M5" s="198">
        <f t="shared" si="3"/>
        <v>0</v>
      </c>
      <c r="N5" s="199">
        <f t="shared" si="4"/>
        <v>2063.5080118531105</v>
      </c>
      <c r="O5" s="300">
        <v>8305.5</v>
      </c>
    </row>
    <row r="6" spans="4:16" ht="15.6" x14ac:dyDescent="0.3">
      <c r="D6" s="196" t="s">
        <v>253</v>
      </c>
      <c r="E6" s="207">
        <v>2010</v>
      </c>
      <c r="F6" s="300">
        <f t="shared" si="1"/>
        <v>224000</v>
      </c>
      <c r="G6" s="301">
        <v>12.5</v>
      </c>
      <c r="H6" s="198">
        <v>20000</v>
      </c>
      <c r="I6" s="198">
        <f>H6/(1+J6)^G6</f>
        <v>10868.353540399057</v>
      </c>
      <c r="J6" s="303">
        <v>0.05</v>
      </c>
      <c r="K6" s="198">
        <f>(F6-I6)/((1-(1/(1+J6)^G6))/J6)</f>
        <v>23339.892472021409</v>
      </c>
      <c r="L6" s="198">
        <f t="shared" si="0"/>
        <v>560</v>
      </c>
      <c r="M6" s="198">
        <f t="shared" si="3"/>
        <v>0</v>
      </c>
      <c r="N6" s="199">
        <f t="shared" si="4"/>
        <v>23899.892472021409</v>
      </c>
      <c r="O6" s="300">
        <v>160000</v>
      </c>
    </row>
    <row r="7" spans="4:16" ht="15.6" x14ac:dyDescent="0.3">
      <c r="D7" s="196" t="s">
        <v>227</v>
      </c>
      <c r="E7" s="197" t="s">
        <v>224</v>
      </c>
      <c r="F7" s="300">
        <f t="shared" si="1"/>
        <v>79100</v>
      </c>
      <c r="G7" s="301">
        <v>12.5</v>
      </c>
      <c r="H7" s="198">
        <f>((0.943-0.111*(G7^0.5))^2)*F7</f>
        <v>23976.12905725266</v>
      </c>
      <c r="I7" s="198">
        <f t="shared" si="2"/>
        <v>13029.052356222834</v>
      </c>
      <c r="J7" s="303">
        <v>0.05</v>
      </c>
      <c r="K7" s="198">
        <f>(F7-I7)/((1-(1/(1+J7)^G7))/J7)</f>
        <v>7235.3816955222455</v>
      </c>
      <c r="L7" s="198">
        <f>0.0025*F7</f>
        <v>197.75</v>
      </c>
      <c r="M7" s="198">
        <f t="shared" si="3"/>
        <v>0</v>
      </c>
      <c r="N7" s="199">
        <f t="shared" si="4"/>
        <v>7433.1316955222455</v>
      </c>
      <c r="O7" s="300">
        <v>56500</v>
      </c>
    </row>
    <row r="8" spans="4:16" ht="15.6" x14ac:dyDescent="0.3">
      <c r="D8" s="196" t="s">
        <v>228</v>
      </c>
      <c r="E8" s="197" t="s">
        <v>224</v>
      </c>
      <c r="F8" s="300">
        <f t="shared" si="1"/>
        <v>6328</v>
      </c>
      <c r="G8" s="301">
        <v>12</v>
      </c>
      <c r="H8" s="198">
        <f>((0.943-0.111*(G8^0.5))^2)*F8</f>
        <v>1973.7359997792075</v>
      </c>
      <c r="I8" s="198">
        <f t="shared" si="2"/>
        <v>1099.050058281158</v>
      </c>
      <c r="J8" s="303">
        <v>0.05</v>
      </c>
      <c r="K8" s="198">
        <f t="shared" ref="K8:K13" si="5">(F8-I8)/((1-(1/(1+J8)^G8))/J8)</f>
        <v>589.95842115274706</v>
      </c>
      <c r="L8" s="198">
        <f t="shared" si="0"/>
        <v>15.82</v>
      </c>
      <c r="M8" s="198">
        <f t="shared" si="3"/>
        <v>0</v>
      </c>
      <c r="N8" s="199">
        <f t="shared" si="4"/>
        <v>605.77842115274711</v>
      </c>
      <c r="O8" s="300">
        <v>4520</v>
      </c>
    </row>
    <row r="9" spans="4:16" ht="15.6" x14ac:dyDescent="0.3">
      <c r="D9" s="196" t="s">
        <v>229</v>
      </c>
      <c r="E9" s="197" t="s">
        <v>224</v>
      </c>
      <c r="F9" s="300">
        <f t="shared" si="1"/>
        <v>14000</v>
      </c>
      <c r="G9" s="301">
        <v>15</v>
      </c>
      <c r="H9" s="198">
        <f>((0.756-0.067*(G9^0.5))^2)*F9</f>
        <v>3451.3121313412535</v>
      </c>
      <c r="I9" s="198">
        <f t="shared" si="2"/>
        <v>1660.140146023931</v>
      </c>
      <c r="J9" s="303">
        <v>0.05</v>
      </c>
      <c r="K9" s="198">
        <f t="shared" si="5"/>
        <v>1188.8503271095308</v>
      </c>
      <c r="L9" s="198">
        <f t="shared" si="0"/>
        <v>35</v>
      </c>
      <c r="M9" s="198">
        <f t="shared" si="3"/>
        <v>0</v>
      </c>
      <c r="N9" s="199">
        <f t="shared" si="4"/>
        <v>1223.8503271095308</v>
      </c>
      <c r="O9" s="300">
        <v>10000</v>
      </c>
    </row>
    <row r="10" spans="4:16" ht="15.6" x14ac:dyDescent="0.3">
      <c r="D10" s="196" t="s">
        <v>230</v>
      </c>
      <c r="E10" s="197" t="s">
        <v>224</v>
      </c>
      <c r="F10" s="300">
        <f t="shared" si="1"/>
        <v>12656</v>
      </c>
      <c r="G10" s="301">
        <v>10</v>
      </c>
      <c r="H10" s="198">
        <f>((0.756-0.067*(G10^0.5))^2)*F10</f>
        <v>3747.1204402594126</v>
      </c>
      <c r="I10" s="198">
        <f t="shared" si="2"/>
        <v>2300.4069008887386</v>
      </c>
      <c r="J10" s="303">
        <v>0.05</v>
      </c>
      <c r="K10" s="198">
        <f t="shared" si="5"/>
        <v>1341.0966828156204</v>
      </c>
      <c r="L10" s="198">
        <f t="shared" si="0"/>
        <v>31.64</v>
      </c>
      <c r="M10" s="198">
        <f t="shared" si="3"/>
        <v>0</v>
      </c>
      <c r="N10" s="199">
        <f t="shared" si="4"/>
        <v>1372.7366828156205</v>
      </c>
      <c r="O10" s="300">
        <v>9040</v>
      </c>
    </row>
    <row r="11" spans="4:16" ht="15.6" x14ac:dyDescent="0.3">
      <c r="D11" s="196" t="s">
        <v>231</v>
      </c>
      <c r="E11" s="197" t="s">
        <v>224</v>
      </c>
      <c r="F11" s="300">
        <f t="shared" si="1"/>
        <v>5600</v>
      </c>
      <c r="G11" s="301">
        <v>12</v>
      </c>
      <c r="H11" s="198">
        <f>((0.943-0.111*(G11^0.5))^2)*F11</f>
        <v>1746.669026353281</v>
      </c>
      <c r="I11" s="198">
        <f t="shared" si="2"/>
        <v>972.61067104527262</v>
      </c>
      <c r="J11" s="303">
        <v>0.05</v>
      </c>
      <c r="K11" s="198">
        <f t="shared" si="5"/>
        <v>522.08709836526293</v>
      </c>
      <c r="L11" s="198">
        <f t="shared" si="0"/>
        <v>14</v>
      </c>
      <c r="M11" s="198">
        <f t="shared" si="3"/>
        <v>0</v>
      </c>
      <c r="N11" s="199">
        <f t="shared" si="4"/>
        <v>536.08709836526293</v>
      </c>
      <c r="O11" s="300">
        <v>4000</v>
      </c>
    </row>
    <row r="12" spans="4:16" ht="15.6" x14ac:dyDescent="0.3">
      <c r="D12" s="196" t="s">
        <v>232</v>
      </c>
      <c r="E12" s="197" t="s">
        <v>224</v>
      </c>
      <c r="F12" s="300">
        <f t="shared" si="1"/>
        <v>23730</v>
      </c>
      <c r="G12" s="301">
        <v>15</v>
      </c>
      <c r="H12" s="198">
        <f>((0.756-0.067*(G12^0.5))^2)*F12</f>
        <v>5849.9740626234243</v>
      </c>
      <c r="I12" s="198">
        <f t="shared" si="2"/>
        <v>2813.937547510563</v>
      </c>
      <c r="J12" s="303">
        <v>0.05</v>
      </c>
      <c r="K12" s="198">
        <f t="shared" si="5"/>
        <v>2015.1013044506547</v>
      </c>
      <c r="L12" s="198">
        <f t="shared" si="0"/>
        <v>59.325000000000003</v>
      </c>
      <c r="M12" s="198">
        <f>0*F12</f>
        <v>0</v>
      </c>
      <c r="N12" s="199">
        <f>K12+L12+M12*1.13</f>
        <v>2074.4263044506547</v>
      </c>
      <c r="O12" s="300">
        <v>16950</v>
      </c>
    </row>
    <row r="13" spans="4:16" ht="16.2" thickBot="1" x14ac:dyDescent="0.35">
      <c r="D13" s="196" t="s">
        <v>241</v>
      </c>
      <c r="E13" s="197" t="s">
        <v>224</v>
      </c>
      <c r="F13" s="300">
        <f t="shared" si="1"/>
        <v>11200</v>
      </c>
      <c r="G13" s="301">
        <v>15</v>
      </c>
      <c r="H13" s="198">
        <f>((0.756-0.067*(G13^0.5))^2)*F13</f>
        <v>2761.0497050730028</v>
      </c>
      <c r="I13" s="198">
        <f t="shared" si="2"/>
        <v>1328.1121168191448</v>
      </c>
      <c r="J13" s="303">
        <v>0.05</v>
      </c>
      <c r="K13" s="198">
        <f t="shared" si="5"/>
        <v>951.08026168762444</v>
      </c>
      <c r="L13" s="198">
        <f t="shared" si="0"/>
        <v>28</v>
      </c>
      <c r="M13" s="198">
        <f t="shared" si="3"/>
        <v>0</v>
      </c>
      <c r="N13" s="199">
        <f>K13+L13+M13*1.13</f>
        <v>979.08026168762444</v>
      </c>
      <c r="O13" s="300">
        <v>8000</v>
      </c>
    </row>
    <row r="14" spans="4:16" ht="16.2" thickBot="1" x14ac:dyDescent="0.35">
      <c r="D14" s="201" t="s">
        <v>234</v>
      </c>
      <c r="E14" s="193"/>
      <c r="F14" s="202">
        <f>SUM(F3:F13)</f>
        <v>499772.7</v>
      </c>
      <c r="G14" s="193"/>
      <c r="H14" s="202"/>
      <c r="I14" s="193"/>
      <c r="J14" s="193"/>
      <c r="K14" s="202">
        <f>SUM(K3:K13)</f>
        <v>57381.540426023021</v>
      </c>
      <c r="L14" s="193"/>
      <c r="M14" s="193"/>
      <c r="N14" s="203">
        <f>SUM(N3:N13)</f>
        <v>58630.972176023017</v>
      </c>
      <c r="O14" s="331"/>
    </row>
    <row r="15" spans="4:16" ht="15" thickBot="1" x14ac:dyDescent="0.35">
      <c r="D15" s="189"/>
      <c r="E15" s="190"/>
      <c r="F15" s="190"/>
      <c r="G15" s="190"/>
      <c r="H15" s="190"/>
      <c r="I15" s="190"/>
      <c r="J15" s="190"/>
      <c r="K15" s="190"/>
      <c r="L15" s="190"/>
      <c r="M15" s="190"/>
      <c r="N15" s="191"/>
      <c r="O15" s="331"/>
    </row>
    <row r="16" spans="4:16" ht="18.600000000000001" thickBot="1" x14ac:dyDescent="0.4">
      <c r="D16" s="600" t="s">
        <v>364</v>
      </c>
      <c r="E16" s="601"/>
      <c r="F16" s="601"/>
      <c r="G16" s="601"/>
      <c r="H16" s="601"/>
      <c r="I16" s="601"/>
      <c r="J16" s="601"/>
      <c r="K16" s="601"/>
      <c r="L16" s="601"/>
      <c r="M16" s="601"/>
      <c r="N16" s="602"/>
      <c r="O16" s="331"/>
    </row>
    <row r="17" spans="4:15" ht="48" thickBot="1" x14ac:dyDescent="0.35">
      <c r="D17" s="201" t="s">
        <v>235</v>
      </c>
      <c r="E17" s="193" t="s">
        <v>236</v>
      </c>
      <c r="F17" s="194" t="s">
        <v>246</v>
      </c>
      <c r="G17" s="194" t="s">
        <v>237</v>
      </c>
      <c r="H17" s="194" t="s">
        <v>247</v>
      </c>
      <c r="I17" s="193" t="s">
        <v>220</v>
      </c>
      <c r="J17" s="193" t="s">
        <v>238</v>
      </c>
      <c r="K17" s="193" t="s">
        <v>248</v>
      </c>
      <c r="L17" s="194" t="s">
        <v>251</v>
      </c>
      <c r="M17" s="194" t="s">
        <v>239</v>
      </c>
      <c r="N17" s="204" t="s">
        <v>240</v>
      </c>
      <c r="O17" s="331"/>
    </row>
    <row r="18" spans="4:15" ht="15.6" x14ac:dyDescent="0.3">
      <c r="D18" s="196" t="str">
        <f>D3</f>
        <v>85 HP 2WD Tractor</v>
      </c>
      <c r="E18" s="197" t="s">
        <v>224</v>
      </c>
      <c r="F18" s="205">
        <v>832</v>
      </c>
      <c r="G18" s="302">
        <v>416</v>
      </c>
      <c r="H18" s="200">
        <f t="shared" ref="H18:H28" si="6">(K3/F18)</f>
        <v>12.183432823773412</v>
      </c>
      <c r="I18" s="200">
        <f t="shared" ref="I18:I28" si="7">(L3/F18)</f>
        <v>0.19727463942307691</v>
      </c>
      <c r="J18" s="200">
        <f t="shared" ref="J18:J28" si="8">(M3/F18)</f>
        <v>0</v>
      </c>
      <c r="K18" s="200">
        <f>3.92*1.13</f>
        <v>4.4295999999999998</v>
      </c>
      <c r="L18" s="200">
        <f>(0.044*85*4)*1.1</f>
        <v>16.456</v>
      </c>
      <c r="M18" s="200">
        <f>L18+K18</f>
        <v>20.8856</v>
      </c>
      <c r="N18" s="206">
        <f>H18+I18+J18+K18+L18</f>
        <v>33.266307463196483</v>
      </c>
      <c r="O18" s="331"/>
    </row>
    <row r="19" spans="4:15" ht="15.6" x14ac:dyDescent="0.3">
      <c r="D19" s="196" t="str">
        <f t="shared" ref="D19:D28" si="9">D4</f>
        <v>60 HP 2WD Tractor</v>
      </c>
      <c r="E19" s="197" t="s">
        <v>224</v>
      </c>
      <c r="F19" s="205">
        <v>1000</v>
      </c>
      <c r="G19" s="302">
        <v>500</v>
      </c>
      <c r="H19" s="200">
        <f t="shared" si="6"/>
        <v>8.0270372916653354</v>
      </c>
      <c r="I19" s="200">
        <f t="shared" si="7"/>
        <v>0.11469500000000001</v>
      </c>
      <c r="J19" s="200">
        <f t="shared" si="8"/>
        <v>0</v>
      </c>
      <c r="K19" s="200">
        <f>3.05*1.13</f>
        <v>3.4464999999999995</v>
      </c>
      <c r="L19" s="200">
        <f>(0.044*60*4)*1.1</f>
        <v>11.616</v>
      </c>
      <c r="M19" s="200">
        <f>L19+K19</f>
        <v>15.0625</v>
      </c>
      <c r="N19" s="206">
        <f>H19+I19+J19+K19+L19</f>
        <v>23.204232291665335</v>
      </c>
      <c r="O19" s="331"/>
    </row>
    <row r="20" spans="4:15" ht="15.6" x14ac:dyDescent="0.3">
      <c r="D20" s="196" t="str">
        <f t="shared" si="9"/>
        <v>60 HP 2WD Used Tractor</v>
      </c>
      <c r="E20" s="207">
        <v>2001</v>
      </c>
      <c r="F20" s="205">
        <v>800</v>
      </c>
      <c r="G20" s="302">
        <v>400</v>
      </c>
      <c r="H20" s="200">
        <f t="shared" si="6"/>
        <v>2.5430484523163881</v>
      </c>
      <c r="I20" s="200">
        <f t="shared" si="7"/>
        <v>3.6336562499999996E-2</v>
      </c>
      <c r="J20" s="200">
        <f t="shared" si="8"/>
        <v>0</v>
      </c>
      <c r="K20" s="200">
        <f>8.51*1.13</f>
        <v>9.616299999999999</v>
      </c>
      <c r="L20" s="200">
        <f>L19</f>
        <v>11.616</v>
      </c>
      <c r="M20" s="200">
        <f>L20+K20</f>
        <v>21.232299999999999</v>
      </c>
      <c r="N20" s="206">
        <f>H20+I20+J20+K20+L20</f>
        <v>23.811685014816387</v>
      </c>
      <c r="O20" s="331"/>
    </row>
    <row r="21" spans="4:15" ht="15.6" x14ac:dyDescent="0.3">
      <c r="D21" s="196" t="str">
        <f t="shared" si="9"/>
        <v>Continuous Used Harvester</v>
      </c>
      <c r="E21" s="207">
        <v>2010</v>
      </c>
      <c r="F21" s="205">
        <v>675</v>
      </c>
      <c r="G21" s="302">
        <v>450</v>
      </c>
      <c r="H21" s="200">
        <f t="shared" si="6"/>
        <v>34.577618477068754</v>
      </c>
      <c r="I21" s="200">
        <f t="shared" si="7"/>
        <v>0.82962962962962961</v>
      </c>
      <c r="J21" s="200">
        <f t="shared" si="8"/>
        <v>0</v>
      </c>
      <c r="K21" s="200">
        <f>10*1.13</f>
        <v>11.299999999999999</v>
      </c>
      <c r="L21" s="200">
        <f>(0.044*85*4)*1.1</f>
        <v>16.456</v>
      </c>
      <c r="M21" s="200">
        <f>L21+K21</f>
        <v>27.756</v>
      </c>
      <c r="N21" s="206">
        <f t="shared" ref="N21:N28" si="10">H21+I21+J21+K21+L21</f>
        <v>63.163248106698376</v>
      </c>
      <c r="O21" s="331"/>
    </row>
    <row r="22" spans="4:15" ht="15.6" x14ac:dyDescent="0.3">
      <c r="D22" s="196" t="str">
        <f t="shared" si="9"/>
        <v>Orch.Sprayer 500 G</v>
      </c>
      <c r="E22" s="197" t="s">
        <v>224</v>
      </c>
      <c r="F22" s="205">
        <v>572</v>
      </c>
      <c r="G22" s="302">
        <v>286</v>
      </c>
      <c r="H22" s="200">
        <f t="shared" si="6"/>
        <v>12.649268698465464</v>
      </c>
      <c r="I22" s="200">
        <f t="shared" si="7"/>
        <v>0.34571678321678323</v>
      </c>
      <c r="J22" s="200">
        <f t="shared" si="8"/>
        <v>0</v>
      </c>
      <c r="K22" s="200">
        <f>8.32*1.13</f>
        <v>9.4016000000000002</v>
      </c>
      <c r="L22" s="200">
        <v>0</v>
      </c>
      <c r="M22" s="200">
        <f t="shared" ref="M22:M28" si="11">L22+K22</f>
        <v>9.4016000000000002</v>
      </c>
      <c r="N22" s="206">
        <f t="shared" si="10"/>
        <v>22.396585481682248</v>
      </c>
      <c r="O22" s="331"/>
    </row>
    <row r="23" spans="4:15" ht="15.6" x14ac:dyDescent="0.3">
      <c r="D23" s="196" t="str">
        <f t="shared" si="9"/>
        <v>Weed Sprayer 100 G</v>
      </c>
      <c r="E23" s="197" t="s">
        <v>224</v>
      </c>
      <c r="F23" s="205">
        <f>2*G23</f>
        <v>96</v>
      </c>
      <c r="G23" s="302">
        <v>48</v>
      </c>
      <c r="H23" s="200">
        <f t="shared" si="6"/>
        <v>6.1454002203411155</v>
      </c>
      <c r="I23" s="200">
        <f t="shared" si="7"/>
        <v>0.16479166666666667</v>
      </c>
      <c r="J23" s="200">
        <f t="shared" si="8"/>
        <v>0</v>
      </c>
      <c r="K23" s="200">
        <f>0.64*1.13</f>
        <v>0.72319999999999995</v>
      </c>
      <c r="L23" s="200">
        <v>0</v>
      </c>
      <c r="M23" s="200">
        <f>L23+K23</f>
        <v>0.72319999999999995</v>
      </c>
      <c r="N23" s="206">
        <f t="shared" si="10"/>
        <v>7.0333918870077827</v>
      </c>
      <c r="O23" s="331"/>
    </row>
    <row r="24" spans="4:15" ht="15.6" x14ac:dyDescent="0.3">
      <c r="D24" s="196" t="str">
        <f t="shared" si="9"/>
        <v xml:space="preserve">Rotary mower </v>
      </c>
      <c r="E24" s="197" t="s">
        <v>224</v>
      </c>
      <c r="F24" s="205">
        <f>2*G24</f>
        <v>94</v>
      </c>
      <c r="G24" s="302">
        <v>47</v>
      </c>
      <c r="H24" s="200">
        <f t="shared" si="6"/>
        <v>12.64734390542054</v>
      </c>
      <c r="I24" s="200">
        <f t="shared" si="7"/>
        <v>0.37234042553191488</v>
      </c>
      <c r="J24" s="200">
        <f t="shared" si="8"/>
        <v>0</v>
      </c>
      <c r="K24" s="200">
        <f>3.13*1.13</f>
        <v>3.5368999999999997</v>
      </c>
      <c r="L24" s="200">
        <v>0</v>
      </c>
      <c r="M24" s="200">
        <f t="shared" si="11"/>
        <v>3.5368999999999997</v>
      </c>
      <c r="N24" s="206">
        <f t="shared" si="10"/>
        <v>16.556584330952454</v>
      </c>
      <c r="O24" s="331"/>
    </row>
    <row r="25" spans="4:15" ht="15.6" x14ac:dyDescent="0.3">
      <c r="D25" s="196" t="str">
        <f t="shared" si="9"/>
        <v>Flail Chopper</v>
      </c>
      <c r="E25" s="197" t="s">
        <v>224</v>
      </c>
      <c r="F25" s="205">
        <f>2*G25</f>
        <v>240</v>
      </c>
      <c r="G25" s="302">
        <v>120</v>
      </c>
      <c r="H25" s="200">
        <f t="shared" si="6"/>
        <v>5.5879028450650852</v>
      </c>
      <c r="I25" s="200">
        <f t="shared" si="7"/>
        <v>0.13183333333333333</v>
      </c>
      <c r="J25" s="200">
        <f t="shared" si="8"/>
        <v>0</v>
      </c>
      <c r="K25" s="200">
        <f>3.78*1.13</f>
        <v>4.271399999999999</v>
      </c>
      <c r="L25" s="200">
        <v>0</v>
      </c>
      <c r="M25" s="200">
        <f t="shared" si="11"/>
        <v>4.271399999999999</v>
      </c>
      <c r="N25" s="206">
        <f t="shared" si="10"/>
        <v>9.9911361783984169</v>
      </c>
      <c r="O25" s="331"/>
    </row>
    <row r="26" spans="4:15" ht="15.6" x14ac:dyDescent="0.3">
      <c r="D26" s="196" t="str">
        <f t="shared" si="9"/>
        <v>Spin/Spreader -3PT</v>
      </c>
      <c r="E26" s="207">
        <v>2007</v>
      </c>
      <c r="F26" s="205">
        <f>2*G26</f>
        <v>140</v>
      </c>
      <c r="G26" s="302">
        <v>70</v>
      </c>
      <c r="H26" s="200">
        <f t="shared" si="6"/>
        <v>3.7291935597518782</v>
      </c>
      <c r="I26" s="200">
        <f t="shared" si="7"/>
        <v>0.1</v>
      </c>
      <c r="J26" s="200">
        <f t="shared" si="8"/>
        <v>0</v>
      </c>
      <c r="K26" s="200">
        <f>0.73*1.13</f>
        <v>0.82489999999999986</v>
      </c>
      <c r="L26" s="200">
        <v>0</v>
      </c>
      <c r="M26" s="200">
        <f t="shared" si="11"/>
        <v>0.82489999999999986</v>
      </c>
      <c r="N26" s="206">
        <f t="shared" si="10"/>
        <v>4.6540935597518782</v>
      </c>
      <c r="O26" s="331"/>
    </row>
    <row r="27" spans="4:15" ht="15.6" x14ac:dyDescent="0.3">
      <c r="D27" s="196" t="str">
        <f t="shared" si="9"/>
        <v>Sickle bar</v>
      </c>
      <c r="E27" s="207">
        <v>2007</v>
      </c>
      <c r="F27" s="205">
        <f>2*G27</f>
        <v>200</v>
      </c>
      <c r="G27" s="302">
        <v>100</v>
      </c>
      <c r="H27" s="200">
        <f t="shared" si="6"/>
        <v>10.075506522253272</v>
      </c>
      <c r="I27" s="200">
        <f t="shared" si="7"/>
        <v>0.29662500000000003</v>
      </c>
      <c r="J27" s="200">
        <f t="shared" si="8"/>
        <v>0</v>
      </c>
      <c r="K27" s="200">
        <f>4.69*1.13</f>
        <v>5.2996999999999996</v>
      </c>
      <c r="L27" s="200">
        <v>0</v>
      </c>
      <c r="M27" s="200">
        <f t="shared" si="11"/>
        <v>5.2996999999999996</v>
      </c>
      <c r="N27" s="206">
        <f t="shared" si="10"/>
        <v>15.671831522253273</v>
      </c>
      <c r="O27" s="331"/>
    </row>
    <row r="28" spans="4:15" ht="16.2" thickBot="1" x14ac:dyDescent="0.35">
      <c r="D28" s="196" t="str">
        <f t="shared" si="9"/>
        <v>Field Disc</v>
      </c>
      <c r="E28" s="207">
        <v>2007</v>
      </c>
      <c r="F28" s="205">
        <v>200</v>
      </c>
      <c r="G28" s="302">
        <v>100</v>
      </c>
      <c r="H28" s="200">
        <f t="shared" si="6"/>
        <v>4.7554013084381221</v>
      </c>
      <c r="I28" s="200">
        <f t="shared" si="7"/>
        <v>0.14000000000000001</v>
      </c>
      <c r="J28" s="200">
        <f t="shared" si="8"/>
        <v>0</v>
      </c>
      <c r="K28" s="200">
        <f>4.69*1.13</f>
        <v>5.2996999999999996</v>
      </c>
      <c r="L28" s="200">
        <v>0</v>
      </c>
      <c r="M28" s="200">
        <f t="shared" si="11"/>
        <v>5.2996999999999996</v>
      </c>
      <c r="N28" s="206">
        <f t="shared" si="10"/>
        <v>10.195101308438122</v>
      </c>
      <c r="O28" s="331"/>
    </row>
    <row r="29" spans="4:15" ht="16.2" thickBot="1" x14ac:dyDescent="0.35">
      <c r="D29" s="201" t="s">
        <v>222</v>
      </c>
      <c r="E29" s="208"/>
      <c r="F29" s="209"/>
      <c r="G29" s="209"/>
      <c r="H29" s="209"/>
      <c r="I29" s="209"/>
      <c r="J29" s="209"/>
      <c r="K29" s="209"/>
      <c r="L29" s="209"/>
      <c r="M29" s="209"/>
      <c r="N29" s="210">
        <f>SUM(N18:N28)</f>
        <v>229.94419714486079</v>
      </c>
      <c r="O29" s="331"/>
    </row>
    <row r="30" spans="4:15" ht="15" customHeight="1" x14ac:dyDescent="0.3">
      <c r="D30" s="597" t="s">
        <v>252</v>
      </c>
      <c r="E30" s="598"/>
      <c r="F30" s="598"/>
      <c r="G30" s="598"/>
      <c r="H30" s="598"/>
      <c r="I30" s="598"/>
      <c r="J30" s="598"/>
      <c r="K30" s="598"/>
      <c r="L30" s="598"/>
      <c r="M30" s="598"/>
      <c r="N30" s="599"/>
      <c r="O30" s="331"/>
    </row>
    <row r="31" spans="4:15" x14ac:dyDescent="0.3">
      <c r="D31" s="567" t="s">
        <v>242</v>
      </c>
      <c r="E31" s="568"/>
      <c r="F31" s="568"/>
      <c r="G31" s="568"/>
      <c r="H31" s="568"/>
      <c r="I31" s="568"/>
      <c r="J31" s="568"/>
      <c r="K31" s="568"/>
      <c r="L31" s="568"/>
      <c r="M31" s="568"/>
      <c r="N31" s="569"/>
      <c r="O31" s="331"/>
    </row>
    <row r="32" spans="4:15" x14ac:dyDescent="0.3">
      <c r="D32" s="555" t="s">
        <v>243</v>
      </c>
      <c r="E32" s="556"/>
      <c r="F32" s="556"/>
      <c r="G32" s="556"/>
      <c r="H32" s="556"/>
      <c r="I32" s="556"/>
      <c r="J32" s="556"/>
      <c r="K32" s="556"/>
      <c r="L32" s="556"/>
      <c r="M32" s="556"/>
      <c r="N32" s="557"/>
      <c r="O32" s="331"/>
    </row>
    <row r="33" spans="4:18" x14ac:dyDescent="0.3">
      <c r="D33" s="555" t="s">
        <v>244</v>
      </c>
      <c r="E33" s="556"/>
      <c r="F33" s="556"/>
      <c r="G33" s="556"/>
      <c r="H33" s="556"/>
      <c r="I33" s="556"/>
      <c r="J33" s="556"/>
      <c r="K33" s="556"/>
      <c r="L33" s="556"/>
      <c r="M33" s="556"/>
      <c r="N33" s="557"/>
      <c r="O33" s="331"/>
    </row>
    <row r="34" spans="4:18" s="278" customFormat="1" x14ac:dyDescent="0.3">
      <c r="D34" s="331"/>
      <c r="E34" s="331"/>
      <c r="F34" s="331"/>
      <c r="G34" s="331"/>
      <c r="H34" s="331"/>
      <c r="I34" s="331"/>
      <c r="J34" s="331"/>
      <c r="K34" s="331"/>
      <c r="L34" s="331"/>
      <c r="M34" s="331"/>
      <c r="N34" s="331"/>
      <c r="O34" s="331"/>
    </row>
    <row r="35" spans="4:18" s="278" customFormat="1" x14ac:dyDescent="0.3">
      <c r="O35" s="331"/>
    </row>
    <row r="36" spans="4:18" s="278" customFormat="1" x14ac:dyDescent="0.3">
      <c r="R36" s="332"/>
    </row>
    <row r="37" spans="4:18" s="278" customFormat="1" x14ac:dyDescent="0.3"/>
    <row r="38" spans="4:18" s="278" customFormat="1" x14ac:dyDescent="0.3"/>
    <row r="39" spans="4:18" s="278" customFormat="1" x14ac:dyDescent="0.3"/>
    <row r="40" spans="4:18" s="278" customFormat="1" x14ac:dyDescent="0.3"/>
    <row r="41" spans="4:18" s="278" customFormat="1" x14ac:dyDescent="0.3"/>
    <row r="42" spans="4:18" s="278" customFormat="1" x14ac:dyDescent="0.3"/>
    <row r="43" spans="4:18" s="278" customFormat="1" x14ac:dyDescent="0.3"/>
    <row r="44" spans="4:18" s="278" customFormat="1" x14ac:dyDescent="0.3"/>
    <row r="45" spans="4:18" s="278" customFormat="1" x14ac:dyDescent="0.3"/>
    <row r="46" spans="4:18" s="278" customFormat="1" x14ac:dyDescent="0.3"/>
    <row r="47" spans="4:18" s="278" customFormat="1" x14ac:dyDescent="0.3"/>
    <row r="48" spans="4:18" s="278" customFormat="1" x14ac:dyDescent="0.3"/>
    <row r="49" s="278" customFormat="1" x14ac:dyDescent="0.3"/>
    <row r="50" s="278" customFormat="1" x14ac:dyDescent="0.3"/>
    <row r="51" s="278" customFormat="1" x14ac:dyDescent="0.3"/>
    <row r="52" s="278" customFormat="1" x14ac:dyDescent="0.3"/>
    <row r="53" s="278" customFormat="1" x14ac:dyDescent="0.3"/>
    <row r="54" s="278" customFormat="1" x14ac:dyDescent="0.3"/>
    <row r="55" s="278" customFormat="1" x14ac:dyDescent="0.3"/>
  </sheetData>
  <mergeCells count="6">
    <mergeCell ref="D33:N33"/>
    <mergeCell ref="D30:N30"/>
    <mergeCell ref="D1:N1"/>
    <mergeCell ref="D16:N16"/>
    <mergeCell ref="D31:N31"/>
    <mergeCell ref="D32:N32"/>
  </mergeCells>
  <pageMargins left="0.7" right="0.7" top="0.75" bottom="0.75" header="0.3" footer="0.3"/>
  <pageSetup orientation="portrait" r:id="rId1"/>
  <ignoredErrors>
    <ignoredError sqref="E3:E13 E18:E28" numberStoredAsText="1"/>
    <ignoredError sqref="H11"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2"/>
  <sheetViews>
    <sheetView zoomScale="110" zoomScaleNormal="110" workbookViewId="0">
      <selection activeCell="K10" sqref="K10"/>
    </sheetView>
  </sheetViews>
  <sheetFormatPr defaultRowHeight="14.4" x14ac:dyDescent="0.3"/>
  <cols>
    <col min="10" max="10" width="13.5546875" customWidth="1"/>
    <col min="11" max="11" width="10.6640625" bestFit="1" customWidth="1"/>
  </cols>
  <sheetData>
    <row r="1" spans="2:12" s="102" customFormat="1" x14ac:dyDescent="0.3"/>
    <row r="3" spans="2:12" ht="15.6" x14ac:dyDescent="0.3">
      <c r="B3" s="526" t="s">
        <v>110</v>
      </c>
      <c r="C3" s="527"/>
      <c r="D3" s="527"/>
      <c r="E3" s="528"/>
      <c r="I3" s="526" t="s">
        <v>108</v>
      </c>
      <c r="J3" s="527"/>
      <c r="K3" s="527"/>
      <c r="L3" s="528"/>
    </row>
    <row r="4" spans="2:12" ht="15.6" x14ac:dyDescent="0.3">
      <c r="B4" s="529" t="s">
        <v>144</v>
      </c>
      <c r="C4" s="530"/>
      <c r="D4" s="159" t="s">
        <v>156</v>
      </c>
      <c r="E4" s="152">
        <v>6</v>
      </c>
      <c r="I4" s="529" t="s">
        <v>144</v>
      </c>
      <c r="J4" s="530"/>
      <c r="K4" s="159" t="s">
        <v>107</v>
      </c>
      <c r="L4" s="152">
        <v>4</v>
      </c>
    </row>
    <row r="5" spans="2:12" ht="15.6" x14ac:dyDescent="0.3">
      <c r="B5" s="531" t="s">
        <v>145</v>
      </c>
      <c r="C5" s="532"/>
      <c r="D5" s="96" t="s">
        <v>107</v>
      </c>
      <c r="E5" s="153">
        <v>12</v>
      </c>
      <c r="I5" s="531" t="s">
        <v>145</v>
      </c>
      <c r="J5" s="532"/>
      <c r="K5" s="96" t="s">
        <v>107</v>
      </c>
      <c r="L5" s="153">
        <v>9</v>
      </c>
    </row>
    <row r="6" spans="2:12" ht="15.6" x14ac:dyDescent="0.3">
      <c r="B6" s="531" t="s">
        <v>146</v>
      </c>
      <c r="C6" s="532"/>
      <c r="D6" s="96" t="s">
        <v>107</v>
      </c>
      <c r="E6" s="153">
        <v>23</v>
      </c>
      <c r="I6" s="531" t="s">
        <v>146</v>
      </c>
      <c r="J6" s="532"/>
      <c r="K6" s="96" t="s">
        <v>107</v>
      </c>
      <c r="L6" s="153">
        <v>20</v>
      </c>
    </row>
    <row r="7" spans="2:12" ht="15.6" x14ac:dyDescent="0.3">
      <c r="B7" s="533" t="s">
        <v>147</v>
      </c>
      <c r="C7" s="534"/>
      <c r="D7" s="160" t="s">
        <v>156</v>
      </c>
      <c r="E7" s="154">
        <v>28</v>
      </c>
      <c r="I7" s="533" t="s">
        <v>147</v>
      </c>
      <c r="J7" s="534"/>
      <c r="K7" s="160" t="s">
        <v>107</v>
      </c>
      <c r="L7" s="154">
        <v>23</v>
      </c>
    </row>
    <row r="9" spans="2:12" ht="15.6" x14ac:dyDescent="0.3">
      <c r="B9" s="526" t="s">
        <v>109</v>
      </c>
      <c r="C9" s="527"/>
      <c r="D9" s="527"/>
      <c r="E9" s="528"/>
      <c r="I9" s="526" t="s">
        <v>109</v>
      </c>
      <c r="J9" s="527"/>
      <c r="K9" s="527"/>
      <c r="L9" s="528"/>
    </row>
    <row r="10" spans="2:12" ht="15.6" x14ac:dyDescent="0.3">
      <c r="B10" s="535" t="s">
        <v>148</v>
      </c>
      <c r="C10" s="536"/>
      <c r="D10" s="155">
        <v>10000</v>
      </c>
      <c r="E10" s="100" t="s">
        <v>149</v>
      </c>
      <c r="I10" s="533" t="s">
        <v>150</v>
      </c>
      <c r="J10" s="537"/>
      <c r="K10" s="156">
        <v>20000</v>
      </c>
      <c r="L10" s="100" t="s">
        <v>149</v>
      </c>
    </row>
    <row r="11" spans="2:12" ht="15.6" x14ac:dyDescent="0.3">
      <c r="I11" s="535" t="s">
        <v>151</v>
      </c>
      <c r="J11" s="536"/>
      <c r="K11" s="156">
        <v>25000</v>
      </c>
      <c r="L11" s="100" t="s">
        <v>149</v>
      </c>
    </row>
    <row r="12" spans="2:12" ht="15.6" x14ac:dyDescent="0.3">
      <c r="I12" s="535" t="s">
        <v>152</v>
      </c>
      <c r="J12" s="536"/>
      <c r="K12" s="156">
        <v>15000</v>
      </c>
      <c r="L12" s="100" t="s">
        <v>149</v>
      </c>
    </row>
    <row r="14" spans="2:12" ht="15.6" x14ac:dyDescent="0.3">
      <c r="B14" s="526" t="s">
        <v>153</v>
      </c>
      <c r="C14" s="527"/>
      <c r="D14" s="527"/>
      <c r="E14" s="528"/>
      <c r="I14" s="526" t="s">
        <v>153</v>
      </c>
      <c r="J14" s="527"/>
      <c r="K14" s="527"/>
      <c r="L14" s="528"/>
    </row>
    <row r="15" spans="2:12" ht="15.6" x14ac:dyDescent="0.3">
      <c r="B15" s="538" t="s">
        <v>155</v>
      </c>
      <c r="C15" s="538"/>
      <c r="D15" s="165">
        <v>5</v>
      </c>
      <c r="E15" s="100" t="s">
        <v>154</v>
      </c>
      <c r="I15" s="535" t="s">
        <v>155</v>
      </c>
      <c r="J15" s="536"/>
      <c r="K15" s="157">
        <v>5</v>
      </c>
      <c r="L15" s="100" t="s">
        <v>154</v>
      </c>
    </row>
    <row r="16" spans="2:12" ht="15.6" x14ac:dyDescent="0.3">
      <c r="I16" s="538" t="s">
        <v>155</v>
      </c>
      <c r="J16" s="538"/>
      <c r="K16" s="158">
        <v>7.5</v>
      </c>
      <c r="L16" s="100" t="s">
        <v>154</v>
      </c>
    </row>
    <row r="17" spans="9:12" ht="15.6" x14ac:dyDescent="0.3">
      <c r="I17" s="538" t="s">
        <v>155</v>
      </c>
      <c r="J17" s="538"/>
      <c r="K17" s="100">
        <v>10</v>
      </c>
      <c r="L17" s="100" t="s">
        <v>154</v>
      </c>
    </row>
    <row r="18" spans="9:12" ht="15.6" x14ac:dyDescent="0.3">
      <c r="I18" s="538" t="s">
        <v>155</v>
      </c>
      <c r="J18" s="538"/>
      <c r="K18" s="100">
        <v>12.5</v>
      </c>
      <c r="L18" s="100" t="s">
        <v>154</v>
      </c>
    </row>
    <row r="19" spans="9:12" ht="15.6" x14ac:dyDescent="0.3">
      <c r="I19" s="538" t="s">
        <v>155</v>
      </c>
      <c r="J19" s="538"/>
      <c r="K19" s="100">
        <v>15</v>
      </c>
      <c r="L19" s="100" t="s">
        <v>154</v>
      </c>
    </row>
    <row r="21" spans="9:12" ht="15.6" x14ac:dyDescent="0.3">
      <c r="I21" s="526" t="s">
        <v>157</v>
      </c>
      <c r="J21" s="527"/>
      <c r="K21" s="527"/>
      <c r="L21" s="528"/>
    </row>
    <row r="22" spans="9:12" ht="15.6" x14ac:dyDescent="0.3">
      <c r="I22" s="538" t="s">
        <v>158</v>
      </c>
      <c r="J22" s="538"/>
      <c r="K22" s="161">
        <v>50</v>
      </c>
      <c r="L22" s="161" t="s">
        <v>159</v>
      </c>
    </row>
  </sheetData>
  <mergeCells count="26">
    <mergeCell ref="I18:J18"/>
    <mergeCell ref="I19:J19"/>
    <mergeCell ref="I21:L21"/>
    <mergeCell ref="I22:J22"/>
    <mergeCell ref="B14:E14"/>
    <mergeCell ref="B15:C15"/>
    <mergeCell ref="I14:L14"/>
    <mergeCell ref="I15:J15"/>
    <mergeCell ref="I16:J16"/>
    <mergeCell ref="I17:J17"/>
    <mergeCell ref="B10:C10"/>
    <mergeCell ref="I9:L9"/>
    <mergeCell ref="I10:J10"/>
    <mergeCell ref="I11:J11"/>
    <mergeCell ref="I12:J12"/>
    <mergeCell ref="B9:E9"/>
    <mergeCell ref="I3:L3"/>
    <mergeCell ref="I4:J4"/>
    <mergeCell ref="I5:J5"/>
    <mergeCell ref="I6:J6"/>
    <mergeCell ref="I7:J7"/>
    <mergeCell ref="B3:E3"/>
    <mergeCell ref="B4:C4"/>
    <mergeCell ref="B5:C5"/>
    <mergeCell ref="B6:C6"/>
    <mergeCell ref="B7:C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3900D"/>
  </sheetPr>
  <dimension ref="A1:BD231"/>
  <sheetViews>
    <sheetView zoomScale="80" zoomScaleNormal="80" workbookViewId="0">
      <selection activeCell="E1" sqref="E1"/>
    </sheetView>
  </sheetViews>
  <sheetFormatPr defaultRowHeight="15.6" x14ac:dyDescent="0.3"/>
  <cols>
    <col min="1" max="2" width="2.6640625" style="278" customWidth="1"/>
    <col min="3" max="3" width="6.88671875" customWidth="1"/>
    <col min="4" max="4" width="12" customWidth="1"/>
    <col min="5" max="5" width="10.33203125" customWidth="1"/>
    <col min="7" max="7" width="10.5546875" bestFit="1" customWidth="1"/>
    <col min="8" max="8" width="11" bestFit="1" customWidth="1"/>
    <col min="9" max="9" width="9.88671875" customWidth="1"/>
    <col min="10" max="10" width="13.88671875" customWidth="1"/>
    <col min="11" max="11" width="13" customWidth="1"/>
    <col min="12" max="12" width="13.88671875" customWidth="1"/>
    <col min="13" max="13" width="10.44140625" style="281" customWidth="1"/>
    <col min="14" max="15" width="15.6640625" style="281" customWidth="1"/>
    <col min="16" max="16" width="2.6640625" style="278" customWidth="1"/>
    <col min="17" max="17" width="10.5546875" customWidth="1"/>
    <col min="18" max="18" width="10.6640625" customWidth="1"/>
    <col min="19" max="19" width="9.109375" bestFit="1" customWidth="1"/>
    <col min="20" max="20" width="7.6640625" customWidth="1"/>
    <col min="21" max="21" width="17.5546875" customWidth="1"/>
    <col min="22" max="22" width="9.5546875" customWidth="1"/>
    <col min="23" max="23" width="10.44140625" customWidth="1"/>
    <col min="24" max="24" width="8.109375" customWidth="1"/>
    <col min="25" max="31" width="7.6640625" style="278" customWidth="1"/>
    <col min="32" max="34" width="9.109375" style="278"/>
  </cols>
  <sheetData>
    <row r="1" spans="2:56" s="278" customFormat="1" ht="23.4" thickBot="1" x14ac:dyDescent="0.45">
      <c r="B1" s="279"/>
      <c r="C1" s="279"/>
      <c r="D1" s="279"/>
      <c r="E1" s="352" t="s">
        <v>325</v>
      </c>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row>
    <row r="2" spans="2:56" ht="114.75" customHeight="1" thickBot="1" x14ac:dyDescent="0.35">
      <c r="B2" s="279"/>
      <c r="C2" s="230" t="s">
        <v>107</v>
      </c>
      <c r="D2" s="231" t="s">
        <v>119</v>
      </c>
      <c r="E2" s="231" t="s">
        <v>124</v>
      </c>
      <c r="F2" s="231" t="s">
        <v>125</v>
      </c>
      <c r="G2" s="231" t="s">
        <v>346</v>
      </c>
      <c r="H2" s="231" t="s">
        <v>345</v>
      </c>
      <c r="I2" s="231" t="s">
        <v>347</v>
      </c>
      <c r="J2" s="231" t="s">
        <v>123</v>
      </c>
      <c r="K2" s="231" t="s">
        <v>168</v>
      </c>
      <c r="L2" s="232" t="s">
        <v>348</v>
      </c>
      <c r="N2" s="282" t="s">
        <v>121</v>
      </c>
      <c r="O2" s="282" t="s">
        <v>122</v>
      </c>
      <c r="P2" s="283"/>
      <c r="Q2" s="278"/>
      <c r="R2" s="289"/>
      <c r="S2" s="290"/>
      <c r="T2" s="278"/>
      <c r="U2" s="278"/>
      <c r="V2" s="278"/>
      <c r="W2" s="278"/>
      <c r="X2" s="279"/>
      <c r="Y2" s="279"/>
      <c r="Z2" s="279"/>
      <c r="AA2" s="279"/>
      <c r="AB2" s="279"/>
      <c r="AC2" s="279"/>
      <c r="AD2" s="279"/>
      <c r="AE2" s="279"/>
      <c r="AF2" s="279"/>
      <c r="AG2" s="279"/>
      <c r="AH2" s="279"/>
      <c r="AI2" s="1"/>
      <c r="AJ2" s="1"/>
      <c r="AK2" s="1"/>
      <c r="AL2" s="1"/>
      <c r="AM2" s="1"/>
      <c r="AN2" s="1"/>
      <c r="AO2" s="1"/>
      <c r="AP2" s="1"/>
      <c r="AQ2" s="1"/>
      <c r="AR2" s="1"/>
      <c r="AS2" s="1"/>
      <c r="AT2" s="1"/>
      <c r="AU2" s="1"/>
      <c r="AV2" s="1"/>
      <c r="AW2" s="1"/>
      <c r="AX2" s="1"/>
      <c r="AY2" s="1"/>
      <c r="AZ2" s="1"/>
      <c r="BA2" s="1"/>
    </row>
    <row r="3" spans="2:56" x14ac:dyDescent="0.3">
      <c r="B3" s="279"/>
      <c r="C3" s="211">
        <v>0</v>
      </c>
      <c r="D3" s="212"/>
      <c r="E3" s="213"/>
      <c r="F3" s="214"/>
      <c r="G3" s="215">
        <v>0</v>
      </c>
      <c r="H3" s="109">
        <f t="shared" ref="H3:H8" si="0">N3+U$7+U$8</f>
        <v>1897.2784142919961</v>
      </c>
      <c r="I3" s="215">
        <f>G3-H3</f>
        <v>-1897.2784142919961</v>
      </c>
      <c r="J3" s="215">
        <f t="shared" ref="J3:J34" si="1">I3/(1+$U$4)^C3</f>
        <v>-1897.2784142919961</v>
      </c>
      <c r="K3" s="215">
        <f>J3</f>
        <v>-1897.2784142919961</v>
      </c>
      <c r="L3" s="216"/>
      <c r="M3" s="281">
        <v>0</v>
      </c>
      <c r="N3" s="284">
        <f>'Chestnuts Cost to Establish'!D10</f>
        <v>1777.5</v>
      </c>
      <c r="O3" s="543" t="s">
        <v>111</v>
      </c>
      <c r="P3" s="544"/>
      <c r="Q3" s="544"/>
      <c r="R3" s="544"/>
      <c r="S3" s="544"/>
      <c r="T3" s="545"/>
      <c r="U3" s="373">
        <v>2.4500000000000002</v>
      </c>
      <c r="V3" s="365" t="s">
        <v>118</v>
      </c>
      <c r="X3" s="279"/>
      <c r="Y3" s="293"/>
      <c r="Z3" s="279"/>
      <c r="AA3" s="279"/>
      <c r="AB3" s="279"/>
      <c r="AC3" s="279"/>
      <c r="AD3" s="279"/>
      <c r="AE3" s="279"/>
      <c r="AF3" s="279"/>
      <c r="AG3" s="279"/>
      <c r="AH3" s="279"/>
      <c r="AI3" s="1"/>
      <c r="AJ3" s="1"/>
      <c r="AK3" s="1"/>
      <c r="AL3" s="1"/>
      <c r="AM3" s="1"/>
      <c r="AN3" s="1"/>
      <c r="AO3" s="1"/>
      <c r="AP3" s="1"/>
      <c r="AQ3" s="1"/>
      <c r="AR3" s="1"/>
      <c r="AS3" s="1"/>
      <c r="AT3" s="1"/>
      <c r="AU3" s="1"/>
      <c r="AV3" s="1"/>
      <c r="AW3" s="1"/>
      <c r="AX3" s="1"/>
      <c r="AY3" s="1"/>
      <c r="AZ3" s="1"/>
      <c r="BA3" s="1"/>
      <c r="BB3" s="1"/>
      <c r="BC3" s="1"/>
      <c r="BD3" s="1"/>
    </row>
    <row r="4" spans="2:56" x14ac:dyDescent="0.3">
      <c r="B4" s="279"/>
      <c r="C4" s="217">
        <f>C3+1</f>
        <v>1</v>
      </c>
      <c r="D4" s="218">
        <v>0</v>
      </c>
      <c r="E4" s="219">
        <f t="shared" ref="E4:E35" si="2">$U$5*D4</f>
        <v>0</v>
      </c>
      <c r="F4" s="97">
        <f t="shared" ref="F4:F35" si="3">$U$3</f>
        <v>2.4500000000000002</v>
      </c>
      <c r="G4" s="109">
        <f t="shared" ref="G4:G51" si="4">E4*F4</f>
        <v>0</v>
      </c>
      <c r="H4" s="109">
        <f t="shared" si="0"/>
        <v>3981.1944142919961</v>
      </c>
      <c r="I4" s="109">
        <f t="shared" ref="I4:I51" si="5">G4-H4</f>
        <v>-3981.1944142919961</v>
      </c>
      <c r="J4" s="109">
        <f t="shared" si="1"/>
        <v>-3686.2911243444405</v>
      </c>
      <c r="K4" s="109">
        <f>J4+K3</f>
        <v>-5583.5695386364368</v>
      </c>
      <c r="L4" s="220"/>
      <c r="M4" s="281">
        <v>1</v>
      </c>
      <c r="N4" s="284">
        <f>'Chestnuts Cost to Establish'!D25</f>
        <v>3861.4159999999997</v>
      </c>
      <c r="O4" s="546" t="s">
        <v>116</v>
      </c>
      <c r="P4" s="547"/>
      <c r="Q4" s="547"/>
      <c r="R4" s="547"/>
      <c r="S4" s="547"/>
      <c r="T4" s="548"/>
      <c r="U4" s="374">
        <v>0.08</v>
      </c>
      <c r="V4" s="366" t="s">
        <v>117</v>
      </c>
      <c r="X4" s="279"/>
      <c r="Y4" s="293"/>
      <c r="Z4" s="279"/>
      <c r="AA4" s="279"/>
      <c r="AB4" s="279"/>
      <c r="AC4" s="279"/>
      <c r="AD4" s="279"/>
      <c r="AE4" s="279"/>
      <c r="AF4" s="279"/>
      <c r="AG4" s="279"/>
      <c r="AH4" s="279"/>
      <c r="AI4" s="1"/>
      <c r="AJ4" s="1"/>
      <c r="AK4" s="1"/>
      <c r="AL4" s="1"/>
      <c r="AM4" s="1"/>
      <c r="AN4" s="1"/>
      <c r="AO4" s="1"/>
      <c r="AP4" s="1"/>
      <c r="AQ4" s="1"/>
      <c r="AR4" s="1"/>
      <c r="AS4" s="1"/>
      <c r="AT4" s="1"/>
      <c r="AU4" s="1"/>
      <c r="AV4" s="1"/>
      <c r="AW4" s="1"/>
      <c r="AX4" s="1"/>
      <c r="AY4" s="1"/>
      <c r="AZ4" s="1"/>
      <c r="BA4" s="1"/>
      <c r="BB4" s="1"/>
      <c r="BC4" s="1"/>
      <c r="BD4" s="1"/>
    </row>
    <row r="5" spans="2:56" x14ac:dyDescent="0.3">
      <c r="B5" s="279"/>
      <c r="C5" s="217">
        <f t="shared" ref="C5:C56" si="6">C4+1</f>
        <v>2</v>
      </c>
      <c r="D5" s="218">
        <v>0</v>
      </c>
      <c r="E5" s="219">
        <f t="shared" si="2"/>
        <v>0</v>
      </c>
      <c r="F5" s="97">
        <f t="shared" si="3"/>
        <v>2.4500000000000002</v>
      </c>
      <c r="G5" s="109">
        <f t="shared" si="4"/>
        <v>0</v>
      </c>
      <c r="H5" s="109">
        <f t="shared" si="0"/>
        <v>769.80962260191711</v>
      </c>
      <c r="I5" s="109">
        <f t="shared" si="5"/>
        <v>-769.80962260191711</v>
      </c>
      <c r="J5" s="109">
        <f t="shared" si="1"/>
        <v>-659.98767369848861</v>
      </c>
      <c r="K5" s="109">
        <f t="shared" ref="K5:K54" si="7">J5+K4</f>
        <v>-6243.5572123349257</v>
      </c>
      <c r="L5" s="220"/>
      <c r="M5" s="281">
        <v>2</v>
      </c>
      <c r="N5" s="284">
        <f>'Chestnuts Cost to Establish'!D39</f>
        <v>650.031208309921</v>
      </c>
      <c r="O5" s="546" t="s">
        <v>114</v>
      </c>
      <c r="P5" s="547"/>
      <c r="Q5" s="547"/>
      <c r="R5" s="547"/>
      <c r="S5" s="547"/>
      <c r="T5" s="548"/>
      <c r="U5" s="375">
        <v>3500</v>
      </c>
      <c r="V5" s="362" t="s">
        <v>115</v>
      </c>
      <c r="X5" s="279"/>
      <c r="Y5" s="293"/>
      <c r="Z5" s="279"/>
      <c r="AA5" s="279"/>
      <c r="AB5" s="279"/>
      <c r="AC5" s="279"/>
      <c r="AD5" s="279"/>
      <c r="AE5" s="279"/>
      <c r="AF5" s="279"/>
      <c r="AG5" s="279"/>
      <c r="AH5" s="279"/>
      <c r="AI5" s="1"/>
      <c r="AJ5" s="1"/>
      <c r="AK5" s="1"/>
      <c r="AL5" s="1"/>
      <c r="AM5" s="1"/>
      <c r="AN5" s="1"/>
      <c r="AO5" s="1"/>
      <c r="AP5" s="1"/>
      <c r="AQ5" s="1"/>
      <c r="AR5" s="1"/>
      <c r="AS5" s="1"/>
      <c r="AT5" s="1"/>
      <c r="AU5" s="1"/>
      <c r="AV5" s="1"/>
      <c r="AW5" s="1"/>
      <c r="AX5" s="1"/>
      <c r="AY5" s="1"/>
      <c r="AZ5" s="1"/>
      <c r="BA5" s="1"/>
      <c r="BB5" s="1"/>
      <c r="BC5" s="1"/>
      <c r="BD5" s="1"/>
    </row>
    <row r="6" spans="2:56" x14ac:dyDescent="0.3">
      <c r="B6" s="279"/>
      <c r="C6" s="217">
        <f t="shared" si="6"/>
        <v>3</v>
      </c>
      <c r="D6" s="218">
        <v>0</v>
      </c>
      <c r="E6" s="219">
        <f t="shared" si="2"/>
        <v>0</v>
      </c>
      <c r="F6" s="97">
        <f t="shared" si="3"/>
        <v>2.4500000000000002</v>
      </c>
      <c r="G6" s="109">
        <f t="shared" si="4"/>
        <v>0</v>
      </c>
      <c r="H6" s="109">
        <f t="shared" si="0"/>
        <v>603.89962260191703</v>
      </c>
      <c r="I6" s="109">
        <f t="shared" si="5"/>
        <v>-603.89962260191703</v>
      </c>
      <c r="J6" s="109">
        <f t="shared" si="1"/>
        <v>-479.39499076131443</v>
      </c>
      <c r="K6" s="109">
        <f t="shared" si="7"/>
        <v>-6722.9522030962398</v>
      </c>
      <c r="L6" s="220"/>
      <c r="M6" s="281">
        <v>3</v>
      </c>
      <c r="N6" s="284">
        <f>'Chestnuts Cost to Establish'!G16</f>
        <v>484.12120830992092</v>
      </c>
      <c r="O6" s="546" t="s">
        <v>134</v>
      </c>
      <c r="P6" s="547"/>
      <c r="Q6" s="547"/>
      <c r="R6" s="547"/>
      <c r="S6" s="547"/>
      <c r="T6" s="548"/>
      <c r="U6" s="272">
        <f>'Chestnuts Cost Per Acre'!K79</f>
        <v>2843.9876531679779</v>
      </c>
      <c r="V6" s="366" t="s">
        <v>133</v>
      </c>
      <c r="X6" s="279"/>
      <c r="Y6" s="279"/>
      <c r="Z6" s="279"/>
      <c r="AA6" s="279"/>
      <c r="AB6" s="279"/>
      <c r="AC6" s="279"/>
      <c r="AD6" s="279"/>
      <c r="AE6" s="279"/>
      <c r="AF6" s="279"/>
      <c r="AG6" s="279"/>
      <c r="AH6" s="279"/>
      <c r="AI6" s="1"/>
      <c r="AJ6" s="1"/>
      <c r="AK6" s="1"/>
      <c r="AL6" s="1"/>
      <c r="AM6" s="1"/>
      <c r="AN6" s="1"/>
      <c r="AO6" s="1"/>
      <c r="AP6" s="1"/>
      <c r="AQ6" s="1"/>
      <c r="AR6" s="1"/>
      <c r="AS6" s="1"/>
      <c r="AT6" s="1"/>
      <c r="AU6" s="1"/>
      <c r="AV6" s="1"/>
      <c r="AW6" s="1"/>
      <c r="AX6" s="1"/>
      <c r="AY6" s="1"/>
      <c r="AZ6" s="1"/>
      <c r="BA6" s="1"/>
    </row>
    <row r="7" spans="2:56" x14ac:dyDescent="0.3">
      <c r="B7" s="279"/>
      <c r="C7" s="217">
        <f t="shared" si="6"/>
        <v>4</v>
      </c>
      <c r="D7" s="218">
        <v>0</v>
      </c>
      <c r="E7" s="219">
        <f t="shared" si="2"/>
        <v>0</v>
      </c>
      <c r="F7" s="97">
        <f t="shared" si="3"/>
        <v>2.4500000000000002</v>
      </c>
      <c r="G7" s="109">
        <f t="shared" si="4"/>
        <v>0</v>
      </c>
      <c r="H7" s="109">
        <f t="shared" si="0"/>
        <v>617.06907123517931</v>
      </c>
      <c r="I7" s="109">
        <f t="shared" si="5"/>
        <v>-617.06907123517931</v>
      </c>
      <c r="J7" s="109">
        <f t="shared" si="1"/>
        <v>-453.56418859523797</v>
      </c>
      <c r="K7" s="109">
        <f t="shared" si="7"/>
        <v>-7176.516391691478</v>
      </c>
      <c r="L7" s="220"/>
      <c r="M7" s="281">
        <v>4</v>
      </c>
      <c r="N7" s="284">
        <f>'Chestnuts Cost to Establish'!G30</f>
        <v>497.29065694318319</v>
      </c>
      <c r="O7" s="546" t="s">
        <v>330</v>
      </c>
      <c r="P7" s="547"/>
      <c r="Q7" s="547"/>
      <c r="R7" s="547"/>
      <c r="S7" s="547"/>
      <c r="T7" s="548"/>
      <c r="U7" s="439">
        <f>'Defender(TartCher)Orchard Model'!L28</f>
        <v>19.778414291996118</v>
      </c>
      <c r="V7" s="366" t="s">
        <v>133</v>
      </c>
      <c r="X7" s="279"/>
      <c r="Y7" s="279"/>
      <c r="Z7" s="279"/>
      <c r="AA7" s="279"/>
      <c r="AB7" s="279"/>
      <c r="AC7" s="279"/>
      <c r="AD7" s="279"/>
      <c r="AE7" s="279"/>
      <c r="AF7" s="279"/>
      <c r="AG7" s="279"/>
      <c r="AH7" s="279"/>
      <c r="AI7" s="279"/>
      <c r="AJ7" s="279"/>
      <c r="AK7" s="279"/>
      <c r="AL7" s="279"/>
      <c r="AM7" s="279"/>
      <c r="AN7" s="279"/>
      <c r="AO7" s="279"/>
      <c r="AP7" s="279"/>
      <c r="AQ7" s="1"/>
      <c r="AR7" s="1"/>
      <c r="AS7" s="1"/>
      <c r="AT7" s="1"/>
    </row>
    <row r="8" spans="2:56" ht="16.2" thickBot="1" x14ac:dyDescent="0.35">
      <c r="B8" s="279"/>
      <c r="C8" s="217">
        <f t="shared" si="6"/>
        <v>5</v>
      </c>
      <c r="D8" s="218">
        <v>0</v>
      </c>
      <c r="E8" s="219">
        <f t="shared" si="2"/>
        <v>0</v>
      </c>
      <c r="F8" s="97">
        <f t="shared" si="3"/>
        <v>2.4500000000000002</v>
      </c>
      <c r="G8" s="109">
        <f t="shared" si="4"/>
        <v>0</v>
      </c>
      <c r="H8" s="109">
        <f t="shared" si="0"/>
        <v>646.90351986844166</v>
      </c>
      <c r="I8" s="109">
        <f t="shared" si="5"/>
        <v>-646.90351986844166</v>
      </c>
      <c r="J8" s="109">
        <f t="shared" si="1"/>
        <v>-440.27166572445196</v>
      </c>
      <c r="K8" s="109">
        <f t="shared" si="7"/>
        <v>-7616.7880574159299</v>
      </c>
      <c r="L8" s="220"/>
      <c r="M8" s="281">
        <v>5</v>
      </c>
      <c r="N8" s="284">
        <f>'Chestnuts Cost to Establish'!G43</f>
        <v>527.12510557644555</v>
      </c>
      <c r="O8" s="539" t="s">
        <v>329</v>
      </c>
      <c r="P8" s="540"/>
      <c r="Q8" s="540"/>
      <c r="R8" s="540"/>
      <c r="S8" s="540"/>
      <c r="T8" s="541"/>
      <c r="U8" s="373">
        <v>100</v>
      </c>
      <c r="V8" s="367" t="s">
        <v>133</v>
      </c>
      <c r="X8" s="279"/>
      <c r="Y8" s="279"/>
      <c r="Z8" s="279"/>
      <c r="AA8" s="279"/>
      <c r="AB8" s="279"/>
      <c r="AC8" s="279"/>
      <c r="AD8" s="279"/>
      <c r="AE8" s="279"/>
      <c r="AF8" s="279"/>
      <c r="AG8" s="279"/>
      <c r="AH8" s="279"/>
      <c r="AI8" s="279"/>
      <c r="AJ8" s="279"/>
      <c r="AK8" s="279"/>
      <c r="AL8" s="279"/>
      <c r="AM8" s="279"/>
      <c r="AN8" s="279"/>
      <c r="AO8" s="279"/>
      <c r="AP8" s="279"/>
      <c r="AQ8" s="1"/>
      <c r="AR8" s="1"/>
      <c r="AS8" s="1"/>
      <c r="AT8" s="1"/>
    </row>
    <row r="9" spans="2:56" x14ac:dyDescent="0.3">
      <c r="B9" s="279"/>
      <c r="C9" s="217">
        <f t="shared" si="6"/>
        <v>6</v>
      </c>
      <c r="D9" s="221">
        <v>0.04</v>
      </c>
      <c r="E9" s="219">
        <f t="shared" si="2"/>
        <v>140</v>
      </c>
      <c r="F9" s="97">
        <f t="shared" si="3"/>
        <v>2.4500000000000002</v>
      </c>
      <c r="G9" s="109">
        <f t="shared" si="4"/>
        <v>343</v>
      </c>
      <c r="H9" s="109">
        <f t="shared" ref="H9:H54" si="8">$U$6*O9+U$7+U$8</f>
        <v>2357.2460335332821</v>
      </c>
      <c r="I9" s="109">
        <f t="shared" si="5"/>
        <v>-2014.2460335332821</v>
      </c>
      <c r="J9" s="109">
        <f t="shared" si="1"/>
        <v>-1269.3166714024417</v>
      </c>
      <c r="K9" s="109">
        <f t="shared" si="7"/>
        <v>-8886.1047288183709</v>
      </c>
      <c r="L9" s="220"/>
      <c r="O9" s="285">
        <v>0.78673605236960975</v>
      </c>
      <c r="Q9" s="287"/>
      <c r="R9" s="293"/>
      <c r="S9" s="294"/>
      <c r="T9" s="279"/>
      <c r="U9" s="279"/>
      <c r="V9" s="279"/>
      <c r="W9" s="279"/>
      <c r="X9" s="279"/>
      <c r="Y9" s="279"/>
      <c r="Z9" s="279"/>
      <c r="AA9" s="279"/>
      <c r="AB9" s="279"/>
      <c r="AC9" s="279"/>
      <c r="AD9" s="279"/>
      <c r="AE9" s="279"/>
      <c r="AF9" s="279"/>
      <c r="AG9" s="279"/>
      <c r="AH9" s="279"/>
      <c r="AI9" s="279"/>
      <c r="AJ9" s="279"/>
      <c r="AK9" s="279"/>
      <c r="AL9" s="279"/>
      <c r="AM9" s="279"/>
      <c r="AN9" s="279"/>
      <c r="AO9" s="279"/>
      <c r="AP9" s="279"/>
      <c r="AQ9" s="1"/>
      <c r="AR9" s="1"/>
      <c r="AS9" s="1"/>
      <c r="AT9" s="1"/>
      <c r="AU9" s="1"/>
      <c r="AV9" s="1"/>
      <c r="AW9" s="1"/>
      <c r="AX9" s="1"/>
      <c r="AY9" s="1"/>
      <c r="AZ9" s="1"/>
      <c r="BA9" s="1"/>
    </row>
    <row r="10" spans="2:56" x14ac:dyDescent="0.3">
      <c r="B10" s="279"/>
      <c r="C10" s="217">
        <f t="shared" si="6"/>
        <v>7</v>
      </c>
      <c r="D10" s="222">
        <v>0.08</v>
      </c>
      <c r="E10" s="219">
        <f t="shared" si="2"/>
        <v>280</v>
      </c>
      <c r="F10" s="97">
        <f t="shared" si="3"/>
        <v>2.4500000000000002</v>
      </c>
      <c r="G10" s="109">
        <f t="shared" si="4"/>
        <v>686</v>
      </c>
      <c r="H10" s="109">
        <f t="shared" si="8"/>
        <v>2415.9989374688735</v>
      </c>
      <c r="I10" s="109">
        <f t="shared" si="5"/>
        <v>-1729.9989374688735</v>
      </c>
      <c r="J10" s="109">
        <f t="shared" si="1"/>
        <v>-1009.4377638267845</v>
      </c>
      <c r="K10" s="109">
        <f t="shared" si="7"/>
        <v>-9895.542492645156</v>
      </c>
      <c r="L10" s="220"/>
      <c r="O10" s="286">
        <v>0.80739468774383338</v>
      </c>
      <c r="Q10" s="279"/>
      <c r="R10" s="279"/>
      <c r="S10" s="279"/>
      <c r="T10" s="279"/>
      <c r="U10" s="279" t="s">
        <v>366</v>
      </c>
      <c r="V10" s="291"/>
      <c r="W10" s="292"/>
      <c r="X10" s="292"/>
      <c r="Y10" s="292"/>
      <c r="Z10" s="292"/>
      <c r="AA10" s="292"/>
      <c r="AB10" s="292"/>
      <c r="AC10" s="292"/>
      <c r="AD10" s="292"/>
      <c r="AE10" s="292"/>
      <c r="AF10" s="279"/>
      <c r="AG10" s="279"/>
      <c r="AH10" s="279"/>
      <c r="AI10" s="279"/>
      <c r="AJ10" s="279"/>
      <c r="AK10" s="279"/>
      <c r="AL10" s="279"/>
      <c r="AM10" s="279"/>
      <c r="AN10" s="279"/>
      <c r="AO10" s="279"/>
      <c r="AP10" s="279"/>
      <c r="AQ10" s="1"/>
      <c r="AR10" s="1"/>
      <c r="AS10" s="1"/>
      <c r="AT10" s="1"/>
      <c r="AU10" s="1"/>
      <c r="AV10" s="1"/>
      <c r="AW10" s="1"/>
      <c r="AX10" s="1"/>
      <c r="AY10" s="1"/>
      <c r="AZ10" s="1"/>
      <c r="BA10" s="1"/>
    </row>
    <row r="11" spans="2:56" x14ac:dyDescent="0.3">
      <c r="B11" s="279"/>
      <c r="C11" s="217">
        <f t="shared" si="6"/>
        <v>8</v>
      </c>
      <c r="D11" s="221">
        <v>0.2</v>
      </c>
      <c r="E11" s="219">
        <f t="shared" si="2"/>
        <v>700</v>
      </c>
      <c r="F11" s="97">
        <f t="shared" si="3"/>
        <v>2.4500000000000002</v>
      </c>
      <c r="G11" s="109">
        <f t="shared" si="4"/>
        <v>1715.0000000000002</v>
      </c>
      <c r="H11" s="109">
        <f t="shared" si="8"/>
        <v>2595.7593143361278</v>
      </c>
      <c r="I11" s="109">
        <f t="shared" si="5"/>
        <v>-880.75931433612755</v>
      </c>
      <c r="J11" s="109">
        <f t="shared" si="1"/>
        <v>-475.84685227110464</v>
      </c>
      <c r="K11" s="109">
        <f t="shared" si="7"/>
        <v>-10371.389344916261</v>
      </c>
      <c r="L11" s="220"/>
      <c r="O11" s="285">
        <v>0.87060184571690535</v>
      </c>
      <c r="Q11" s="279"/>
      <c r="R11" s="279"/>
      <c r="S11" s="279"/>
      <c r="T11" s="279"/>
      <c r="U11" s="279"/>
      <c r="V11" s="297"/>
      <c r="W11" s="297"/>
      <c r="X11" s="297"/>
      <c r="Y11" s="297"/>
      <c r="Z11" s="297"/>
      <c r="AA11" s="279"/>
      <c r="AB11" s="279"/>
      <c r="AC11" s="279"/>
      <c r="AD11" s="279"/>
      <c r="AE11" s="279"/>
      <c r="AF11" s="279"/>
      <c r="AG11" s="279"/>
      <c r="AH11" s="279"/>
      <c r="AI11" s="279"/>
      <c r="AJ11" s="279"/>
      <c r="AK11" s="279"/>
      <c r="AL11" s="279"/>
      <c r="AM11" s="279"/>
      <c r="AN11" s="279"/>
      <c r="AO11" s="279"/>
      <c r="AP11" s="279"/>
      <c r="AQ11" s="1"/>
      <c r="AR11" s="1"/>
      <c r="AS11" s="1"/>
      <c r="AT11" s="1"/>
      <c r="AU11" s="1"/>
      <c r="AV11" s="1"/>
      <c r="AW11" s="1"/>
      <c r="AX11" s="1"/>
      <c r="AY11" s="1"/>
      <c r="AZ11" s="1"/>
      <c r="BA11" s="1"/>
    </row>
    <row r="12" spans="2:56" x14ac:dyDescent="0.3">
      <c r="B12" s="279"/>
      <c r="C12" s="217">
        <f t="shared" si="6"/>
        <v>9</v>
      </c>
      <c r="D12" s="221">
        <v>0.3</v>
      </c>
      <c r="E12" s="219">
        <f t="shared" si="2"/>
        <v>1050</v>
      </c>
      <c r="F12" s="97">
        <f t="shared" si="3"/>
        <v>2.4500000000000002</v>
      </c>
      <c r="G12" s="109">
        <f t="shared" si="4"/>
        <v>2572.5</v>
      </c>
      <c r="H12" s="109">
        <f t="shared" si="8"/>
        <v>2679.2315909007739</v>
      </c>
      <c r="I12" s="109">
        <f t="shared" si="5"/>
        <v>-106.73159090077388</v>
      </c>
      <c r="J12" s="109">
        <f t="shared" si="1"/>
        <v>-53.392368108409563</v>
      </c>
      <c r="K12" s="109">
        <f t="shared" si="7"/>
        <v>-10424.781713024669</v>
      </c>
      <c r="L12" s="220"/>
      <c r="M12" s="279"/>
      <c r="N12" s="279"/>
      <c r="O12" s="285">
        <v>0.89995228135317273</v>
      </c>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1"/>
      <c r="AR12" s="1"/>
      <c r="AS12" s="1"/>
      <c r="AT12" s="1"/>
      <c r="AU12" s="1"/>
      <c r="AV12" s="1"/>
      <c r="AW12" s="1"/>
      <c r="AX12" s="1"/>
      <c r="AY12" s="1"/>
      <c r="AZ12" s="1"/>
      <c r="BA12" s="1"/>
    </row>
    <row r="13" spans="2:56" x14ac:dyDescent="0.3">
      <c r="B13" s="279"/>
      <c r="C13" s="217">
        <f t="shared" si="6"/>
        <v>10</v>
      </c>
      <c r="D13" s="221">
        <v>0.4</v>
      </c>
      <c r="E13" s="219">
        <f t="shared" si="2"/>
        <v>1400</v>
      </c>
      <c r="F13" s="97">
        <f t="shared" si="3"/>
        <v>2.4500000000000002</v>
      </c>
      <c r="G13" s="109">
        <f t="shared" si="4"/>
        <v>3430.0000000000005</v>
      </c>
      <c r="H13" s="109">
        <f t="shared" si="8"/>
        <v>2806.5065643759203</v>
      </c>
      <c r="I13" s="109">
        <f t="shared" si="5"/>
        <v>623.49343562408012</v>
      </c>
      <c r="J13" s="109">
        <f t="shared" si="1"/>
        <v>288.7980992446212</v>
      </c>
      <c r="K13" s="109">
        <f t="shared" si="7"/>
        <v>-10135.983613780048</v>
      </c>
      <c r="L13" s="220"/>
      <c r="M13" s="279"/>
      <c r="N13" s="279"/>
      <c r="O13" s="285">
        <v>0.94470457601710078</v>
      </c>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1"/>
      <c r="AR13" s="1"/>
      <c r="AS13" s="1"/>
      <c r="AT13" s="1"/>
      <c r="AU13" s="1"/>
      <c r="AV13" s="1"/>
      <c r="AW13" s="1"/>
      <c r="AX13" s="1"/>
      <c r="AY13" s="1"/>
      <c r="AZ13" s="1"/>
      <c r="BA13" s="1"/>
    </row>
    <row r="14" spans="2:56" x14ac:dyDescent="0.3">
      <c r="B14" s="279"/>
      <c r="C14" s="217">
        <f t="shared" si="6"/>
        <v>11</v>
      </c>
      <c r="D14" s="221">
        <v>0.5</v>
      </c>
      <c r="E14" s="219">
        <f t="shared" si="2"/>
        <v>1750</v>
      </c>
      <c r="F14" s="97">
        <f t="shared" si="3"/>
        <v>2.4500000000000002</v>
      </c>
      <c r="G14" s="109">
        <f t="shared" si="4"/>
        <v>4287.5</v>
      </c>
      <c r="H14" s="109">
        <f t="shared" si="8"/>
        <v>2881.2174094865172</v>
      </c>
      <c r="I14" s="109">
        <f t="shared" si="5"/>
        <v>1406.2825905134828</v>
      </c>
      <c r="J14" s="109">
        <f t="shared" si="1"/>
        <v>603.13049845620912</v>
      </c>
      <c r="K14" s="109">
        <f t="shared" si="7"/>
        <v>-9532.85311532384</v>
      </c>
      <c r="L14" s="220"/>
      <c r="M14" s="279"/>
      <c r="N14" s="279"/>
      <c r="O14" s="285">
        <v>0.97097432617841917</v>
      </c>
      <c r="P14" s="279"/>
      <c r="Q14" s="279"/>
      <c r="R14" s="279"/>
      <c r="S14" s="279"/>
      <c r="T14" s="279"/>
      <c r="U14" s="279"/>
      <c r="V14" s="299"/>
      <c r="W14" s="299"/>
      <c r="X14" s="279"/>
      <c r="Y14" s="279"/>
      <c r="Z14" s="279"/>
      <c r="AA14" s="279"/>
      <c r="AB14" s="279"/>
      <c r="AC14" s="279"/>
      <c r="AD14" s="279"/>
      <c r="AE14" s="279"/>
      <c r="AF14" s="279"/>
      <c r="AG14" s="279"/>
      <c r="AH14" s="279"/>
      <c r="AI14" s="279"/>
      <c r="AJ14" s="279"/>
      <c r="AK14" s="279"/>
      <c r="AL14" s="279"/>
      <c r="AM14" s="279"/>
      <c r="AN14" s="279"/>
      <c r="AO14" s="279"/>
      <c r="AP14" s="279"/>
      <c r="AQ14" s="1"/>
      <c r="AR14" s="1"/>
      <c r="AS14" s="1"/>
      <c r="AT14" s="1"/>
      <c r="AU14" s="1"/>
      <c r="AV14" s="1"/>
      <c r="AW14" s="1"/>
      <c r="AX14" s="1"/>
      <c r="AY14" s="1"/>
      <c r="AZ14" s="1"/>
      <c r="BA14" s="1"/>
    </row>
    <row r="15" spans="2:56" x14ac:dyDescent="0.3">
      <c r="B15" s="279"/>
      <c r="C15" s="217">
        <f t="shared" si="6"/>
        <v>12</v>
      </c>
      <c r="D15" s="221">
        <v>0.6</v>
      </c>
      <c r="E15" s="219">
        <f t="shared" si="2"/>
        <v>2100</v>
      </c>
      <c r="F15" s="97">
        <f t="shared" si="3"/>
        <v>2.4500000000000002</v>
      </c>
      <c r="G15" s="109">
        <f t="shared" si="4"/>
        <v>5145</v>
      </c>
      <c r="H15" s="109">
        <f t="shared" si="8"/>
        <v>2963.7660674599742</v>
      </c>
      <c r="I15" s="109">
        <f t="shared" si="5"/>
        <v>2181.2339325400258</v>
      </c>
      <c r="J15" s="109">
        <f t="shared" si="1"/>
        <v>866.19800543714621</v>
      </c>
      <c r="K15" s="109">
        <f t="shared" si="7"/>
        <v>-8666.655109886693</v>
      </c>
      <c r="L15" s="220"/>
      <c r="M15" s="279"/>
      <c r="N15" s="279"/>
      <c r="O15" s="287">
        <v>1</v>
      </c>
      <c r="P15" s="279"/>
      <c r="Q15" s="279"/>
      <c r="R15" s="279"/>
      <c r="S15" s="279"/>
      <c r="T15" s="279"/>
      <c r="U15" s="279"/>
      <c r="V15" s="278"/>
      <c r="W15" s="278"/>
      <c r="X15" s="279"/>
      <c r="Y15" s="279"/>
      <c r="Z15" s="279"/>
      <c r="AA15" s="279"/>
      <c r="AB15" s="279"/>
      <c r="AC15" s="279"/>
      <c r="AD15" s="279"/>
      <c r="AE15" s="279"/>
      <c r="AF15" s="279"/>
      <c r="AG15" s="279"/>
      <c r="AH15" s="279"/>
      <c r="AI15" s="279"/>
      <c r="AJ15" s="279"/>
      <c r="AK15" s="279"/>
      <c r="AL15" s="279"/>
      <c r="AM15" s="279"/>
      <c r="AN15" s="279"/>
      <c r="AO15" s="279"/>
      <c r="AP15" s="279"/>
      <c r="AQ15" s="1"/>
      <c r="AR15" s="1"/>
      <c r="AS15" s="1"/>
      <c r="AT15" s="1"/>
      <c r="AU15" s="1"/>
      <c r="AV15" s="1"/>
      <c r="AW15" s="1"/>
      <c r="AX15" s="1"/>
      <c r="AY15" s="1"/>
      <c r="AZ15" s="1"/>
      <c r="BA15" s="1"/>
    </row>
    <row r="16" spans="2:56" x14ac:dyDescent="0.3">
      <c r="B16" s="279"/>
      <c r="C16" s="217">
        <f t="shared" si="6"/>
        <v>13</v>
      </c>
      <c r="D16" s="221">
        <v>0.7</v>
      </c>
      <c r="E16" s="219">
        <f t="shared" si="2"/>
        <v>2450</v>
      </c>
      <c r="F16" s="97">
        <f t="shared" si="3"/>
        <v>2.4500000000000002</v>
      </c>
      <c r="G16" s="109">
        <f t="shared" si="4"/>
        <v>6002.5</v>
      </c>
      <c r="H16" s="109">
        <f t="shared" si="8"/>
        <v>2963.7660674599742</v>
      </c>
      <c r="I16" s="109">
        <f t="shared" si="5"/>
        <v>3038.7339325400258</v>
      </c>
      <c r="J16" s="109">
        <f t="shared" si="1"/>
        <v>1117.3361606260034</v>
      </c>
      <c r="K16" s="109">
        <f t="shared" si="7"/>
        <v>-7549.3189492606898</v>
      </c>
      <c r="L16" s="220"/>
      <c r="M16" s="279"/>
      <c r="N16" s="279"/>
      <c r="O16" s="287">
        <v>1</v>
      </c>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1"/>
      <c r="AR16" s="1"/>
      <c r="AS16" s="1"/>
      <c r="AT16" s="1"/>
      <c r="AU16" s="1"/>
      <c r="AV16" s="1"/>
      <c r="AW16" s="1"/>
      <c r="AX16" s="1"/>
      <c r="AY16" s="1"/>
      <c r="AZ16" s="1"/>
      <c r="BA16" s="1"/>
    </row>
    <row r="17" spans="1:53" x14ac:dyDescent="0.3">
      <c r="B17" s="279"/>
      <c r="C17" s="217">
        <f t="shared" si="6"/>
        <v>14</v>
      </c>
      <c r="D17" s="221">
        <v>0.8</v>
      </c>
      <c r="E17" s="219">
        <f t="shared" si="2"/>
        <v>2800</v>
      </c>
      <c r="F17" s="97">
        <f t="shared" si="3"/>
        <v>2.4500000000000002</v>
      </c>
      <c r="G17" s="109">
        <f t="shared" si="4"/>
        <v>6860.0000000000009</v>
      </c>
      <c r="H17" s="109">
        <f t="shared" si="8"/>
        <v>2963.7660674599742</v>
      </c>
      <c r="I17" s="109">
        <f t="shared" si="5"/>
        <v>3896.2339325400267</v>
      </c>
      <c r="J17" s="109">
        <f t="shared" si="1"/>
        <v>1326.5158620670622</v>
      </c>
      <c r="K17" s="109">
        <f t="shared" si="7"/>
        <v>-6222.803087193628</v>
      </c>
      <c r="L17" s="220"/>
      <c r="M17" s="279"/>
      <c r="N17" s="279"/>
      <c r="O17" s="287">
        <v>1</v>
      </c>
      <c r="P17" s="279"/>
      <c r="Q17" s="279"/>
      <c r="R17" s="279"/>
      <c r="S17" s="279"/>
      <c r="T17" s="279"/>
      <c r="U17" s="279"/>
      <c r="V17" s="278"/>
      <c r="W17" s="279"/>
      <c r="X17" s="279"/>
      <c r="Y17" s="279"/>
      <c r="Z17" s="279"/>
      <c r="AA17" s="279"/>
      <c r="AB17" s="279"/>
      <c r="AC17" s="279"/>
      <c r="AD17" s="279"/>
      <c r="AE17" s="279"/>
      <c r="AF17" s="279"/>
      <c r="AG17" s="279"/>
      <c r="AH17" s="279"/>
      <c r="AI17" s="279"/>
      <c r="AJ17" s="279"/>
      <c r="AK17" s="279"/>
      <c r="AL17" s="279"/>
      <c r="AM17" s="279"/>
      <c r="AN17" s="279"/>
      <c r="AO17" s="279"/>
      <c r="AP17" s="279"/>
      <c r="AQ17" s="1"/>
      <c r="AR17" s="1"/>
      <c r="AS17" s="1"/>
      <c r="AT17" s="1"/>
      <c r="AU17" s="1"/>
      <c r="AV17" s="1"/>
      <c r="AW17" s="1"/>
      <c r="AX17" s="1"/>
      <c r="AY17" s="1"/>
      <c r="AZ17" s="1"/>
      <c r="BA17" s="1"/>
    </row>
    <row r="18" spans="1:53" x14ac:dyDescent="0.3">
      <c r="B18" s="279"/>
      <c r="C18" s="217">
        <f t="shared" si="6"/>
        <v>15</v>
      </c>
      <c r="D18" s="221">
        <v>0.9</v>
      </c>
      <c r="E18" s="219">
        <f t="shared" si="2"/>
        <v>3150</v>
      </c>
      <c r="F18" s="97">
        <f t="shared" si="3"/>
        <v>2.4500000000000002</v>
      </c>
      <c r="G18" s="109">
        <f t="shared" si="4"/>
        <v>7717.5000000000009</v>
      </c>
      <c r="H18" s="109">
        <f t="shared" si="8"/>
        <v>2963.7660674599742</v>
      </c>
      <c r="I18" s="109">
        <f t="shared" si="5"/>
        <v>4753.7339325400262</v>
      </c>
      <c r="J18" s="109">
        <f t="shared" si="1"/>
        <v>1498.5751898481228</v>
      </c>
      <c r="K18" s="109">
        <f t="shared" si="7"/>
        <v>-4724.227897345505</v>
      </c>
      <c r="L18" s="220"/>
      <c r="M18" s="279"/>
      <c r="N18" s="279"/>
      <c r="O18" s="287">
        <v>1</v>
      </c>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1"/>
      <c r="AR18" s="1"/>
      <c r="AS18" s="1"/>
      <c r="AT18" s="1"/>
      <c r="AU18" s="1"/>
      <c r="AV18" s="1"/>
      <c r="AW18" s="1"/>
      <c r="AX18" s="1"/>
      <c r="AY18" s="1"/>
      <c r="AZ18" s="1"/>
      <c r="BA18" s="1"/>
    </row>
    <row r="19" spans="1:53" x14ac:dyDescent="0.3">
      <c r="B19" s="279"/>
      <c r="C19" s="217">
        <f t="shared" si="6"/>
        <v>16</v>
      </c>
      <c r="D19" s="221">
        <v>1</v>
      </c>
      <c r="E19" s="219">
        <f t="shared" si="2"/>
        <v>3500</v>
      </c>
      <c r="F19" s="97">
        <f t="shared" si="3"/>
        <v>2.4500000000000002</v>
      </c>
      <c r="G19" s="109">
        <f t="shared" si="4"/>
        <v>8575</v>
      </c>
      <c r="H19" s="109">
        <f t="shared" si="8"/>
        <v>2963.7660674599742</v>
      </c>
      <c r="I19" s="109">
        <f t="shared" si="5"/>
        <v>5611.2339325400262</v>
      </c>
      <c r="J19" s="109">
        <f t="shared" si="1"/>
        <v>1637.8656961633087</v>
      </c>
      <c r="K19" s="109">
        <f t="shared" si="7"/>
        <v>-3086.3622011821963</v>
      </c>
      <c r="L19" s="220"/>
      <c r="M19" s="279"/>
      <c r="N19" s="279"/>
      <c r="O19" s="287">
        <v>1</v>
      </c>
      <c r="P19" s="279"/>
      <c r="Q19" s="279"/>
      <c r="R19" s="287"/>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1"/>
      <c r="AR19" s="1"/>
      <c r="AS19" s="1"/>
      <c r="AT19" s="1"/>
      <c r="AU19" s="1"/>
      <c r="AV19" s="1"/>
      <c r="AW19" s="1"/>
      <c r="AX19" s="1"/>
      <c r="AY19" s="1"/>
      <c r="AZ19" s="1"/>
      <c r="BA19" s="1"/>
    </row>
    <row r="20" spans="1:53" x14ac:dyDescent="0.3">
      <c r="B20" s="279"/>
      <c r="C20" s="217">
        <f t="shared" si="6"/>
        <v>17</v>
      </c>
      <c r="D20" s="221">
        <v>1</v>
      </c>
      <c r="E20" s="219">
        <f t="shared" si="2"/>
        <v>3500</v>
      </c>
      <c r="F20" s="97">
        <f t="shared" si="3"/>
        <v>2.4500000000000002</v>
      </c>
      <c r="G20" s="109">
        <f t="shared" si="4"/>
        <v>8575</v>
      </c>
      <c r="H20" s="109">
        <f t="shared" si="8"/>
        <v>2963.7660674599742</v>
      </c>
      <c r="I20" s="109">
        <f t="shared" si="5"/>
        <v>5611.2339325400262</v>
      </c>
      <c r="J20" s="109">
        <f t="shared" si="1"/>
        <v>1516.542311262323</v>
      </c>
      <c r="K20" s="109">
        <f t="shared" si="7"/>
        <v>-1569.8198899198733</v>
      </c>
      <c r="L20" s="220">
        <f t="shared" ref="L20:L56" si="9">-PMT($U$4,C20,K20,1)</f>
        <v>-172.06883265578315</v>
      </c>
      <c r="M20" s="279"/>
      <c r="N20" s="279"/>
      <c r="O20" s="287">
        <v>1</v>
      </c>
      <c r="P20" s="279"/>
      <c r="Q20" s="279"/>
      <c r="R20" s="287"/>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1"/>
      <c r="AR20" s="1"/>
      <c r="AS20" s="1"/>
      <c r="AT20" s="1"/>
      <c r="AU20" s="1"/>
      <c r="AV20" s="1"/>
      <c r="AW20" s="1"/>
      <c r="AX20" s="1"/>
      <c r="AY20" s="1"/>
      <c r="AZ20" s="1"/>
      <c r="BA20" s="1"/>
    </row>
    <row r="21" spans="1:53" s="102" customFormat="1" x14ac:dyDescent="0.3">
      <c r="A21" s="278"/>
      <c r="B21" s="279"/>
      <c r="C21" s="217">
        <f t="shared" si="6"/>
        <v>18</v>
      </c>
      <c r="D21" s="221">
        <v>1</v>
      </c>
      <c r="E21" s="219">
        <f t="shared" si="2"/>
        <v>3500</v>
      </c>
      <c r="F21" s="97">
        <f t="shared" si="3"/>
        <v>2.4500000000000002</v>
      </c>
      <c r="G21" s="109">
        <f t="shared" si="4"/>
        <v>8575</v>
      </c>
      <c r="H21" s="109">
        <f t="shared" si="8"/>
        <v>2963.7660674599742</v>
      </c>
      <c r="I21" s="109">
        <f t="shared" si="5"/>
        <v>5611.2339325400262</v>
      </c>
      <c r="J21" s="109">
        <f t="shared" si="1"/>
        <v>1404.2058437614101</v>
      </c>
      <c r="K21" s="109">
        <f t="shared" si="7"/>
        <v>-165.61404615846322</v>
      </c>
      <c r="L21" s="220">
        <f t="shared" si="9"/>
        <v>-17.644663740483733</v>
      </c>
      <c r="M21" s="279"/>
      <c r="N21" s="279"/>
      <c r="O21" s="287">
        <v>1</v>
      </c>
      <c r="P21" s="279"/>
      <c r="Q21" s="279"/>
      <c r="R21" s="287"/>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103"/>
      <c r="AR21" s="103"/>
      <c r="AS21" s="103"/>
      <c r="AT21" s="103"/>
      <c r="AU21" s="103"/>
      <c r="AV21" s="103"/>
      <c r="AW21" s="103"/>
      <c r="AX21" s="103"/>
      <c r="AY21" s="103"/>
      <c r="AZ21" s="103"/>
      <c r="BA21" s="103"/>
    </row>
    <row r="22" spans="1:53" s="102" customFormat="1" ht="16.2" thickBot="1" x14ac:dyDescent="0.35">
      <c r="A22" s="278"/>
      <c r="B22" s="279"/>
      <c r="C22" s="217">
        <f t="shared" si="6"/>
        <v>19</v>
      </c>
      <c r="D22" s="221">
        <v>1</v>
      </c>
      <c r="E22" s="219">
        <f t="shared" si="2"/>
        <v>3500</v>
      </c>
      <c r="F22" s="97">
        <f t="shared" si="3"/>
        <v>2.4500000000000002</v>
      </c>
      <c r="G22" s="109">
        <f t="shared" si="4"/>
        <v>8575</v>
      </c>
      <c r="H22" s="109">
        <f t="shared" si="8"/>
        <v>2963.7660674599742</v>
      </c>
      <c r="I22" s="109">
        <f t="shared" si="5"/>
        <v>5611.2339325400262</v>
      </c>
      <c r="J22" s="109">
        <f t="shared" si="1"/>
        <v>1300.1905960753795</v>
      </c>
      <c r="K22" s="109">
        <f t="shared" si="7"/>
        <v>1134.5765499169163</v>
      </c>
      <c r="L22" s="220">
        <f t="shared" si="9"/>
        <v>118.16489196837448</v>
      </c>
      <c r="M22" s="279"/>
      <c r="N22" s="279"/>
      <c r="O22" s="287">
        <v>1</v>
      </c>
      <c r="P22" s="279"/>
      <c r="Q22" s="279"/>
      <c r="R22" s="287"/>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103"/>
      <c r="AR22" s="103"/>
      <c r="AS22" s="103"/>
      <c r="AT22" s="103"/>
      <c r="AU22" s="103"/>
      <c r="AV22" s="103"/>
      <c r="AW22" s="103"/>
      <c r="AX22" s="103"/>
      <c r="AY22" s="103"/>
      <c r="AZ22" s="103"/>
      <c r="BA22" s="103"/>
    </row>
    <row r="23" spans="1:53" s="102" customFormat="1" ht="16.2" thickBot="1" x14ac:dyDescent="0.35">
      <c r="A23" s="278"/>
      <c r="B23" s="279"/>
      <c r="C23" s="217">
        <f t="shared" si="6"/>
        <v>20</v>
      </c>
      <c r="D23" s="221">
        <v>1</v>
      </c>
      <c r="E23" s="219">
        <f t="shared" si="2"/>
        <v>3500</v>
      </c>
      <c r="F23" s="97">
        <f t="shared" si="3"/>
        <v>2.4500000000000002</v>
      </c>
      <c r="G23" s="109">
        <f t="shared" si="4"/>
        <v>8575</v>
      </c>
      <c r="H23" s="109">
        <f t="shared" si="8"/>
        <v>2963.7660674599742</v>
      </c>
      <c r="I23" s="109">
        <f t="shared" si="5"/>
        <v>5611.2339325400262</v>
      </c>
      <c r="J23" s="109">
        <f t="shared" si="1"/>
        <v>1203.8801815512772</v>
      </c>
      <c r="K23" s="109">
        <f t="shared" si="7"/>
        <v>2338.4567314681935</v>
      </c>
      <c r="L23" s="358">
        <f t="shared" si="9"/>
        <v>238.19883554622385</v>
      </c>
      <c r="M23" s="350">
        <v>20</v>
      </c>
      <c r="N23" s="279"/>
      <c r="O23" s="287">
        <v>1</v>
      </c>
      <c r="P23" s="279"/>
      <c r="Q23" s="279"/>
      <c r="R23" s="287"/>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103"/>
      <c r="AR23" s="103"/>
      <c r="AS23" s="103"/>
      <c r="AT23" s="103"/>
      <c r="AU23" s="103"/>
      <c r="AV23" s="103"/>
      <c r="AW23" s="103"/>
      <c r="AX23" s="103"/>
      <c r="AY23" s="103"/>
      <c r="AZ23" s="103"/>
      <c r="BA23" s="103"/>
    </row>
    <row r="24" spans="1:53" s="102" customFormat="1" x14ac:dyDescent="0.3">
      <c r="A24" s="278"/>
      <c r="B24" s="279"/>
      <c r="C24" s="217">
        <f t="shared" si="6"/>
        <v>21</v>
      </c>
      <c r="D24" s="221">
        <v>1</v>
      </c>
      <c r="E24" s="219">
        <f t="shared" si="2"/>
        <v>3500</v>
      </c>
      <c r="F24" s="97">
        <f t="shared" si="3"/>
        <v>2.4500000000000002</v>
      </c>
      <c r="G24" s="109">
        <f t="shared" si="4"/>
        <v>8575</v>
      </c>
      <c r="H24" s="109">
        <f t="shared" si="8"/>
        <v>2963.7660674599742</v>
      </c>
      <c r="I24" s="109">
        <f t="shared" si="5"/>
        <v>5611.2339325400262</v>
      </c>
      <c r="J24" s="109">
        <f t="shared" si="1"/>
        <v>1114.7038718067383</v>
      </c>
      <c r="K24" s="109">
        <f t="shared" si="7"/>
        <v>3453.1606032749319</v>
      </c>
      <c r="L24" s="220">
        <f t="shared" si="9"/>
        <v>344.75662599828678</v>
      </c>
      <c r="M24" s="350"/>
      <c r="N24" s="279"/>
      <c r="O24" s="287">
        <v>1</v>
      </c>
      <c r="P24" s="279"/>
      <c r="Q24" s="279"/>
      <c r="R24" s="287"/>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Q24" s="103"/>
      <c r="AR24" s="103"/>
      <c r="AS24" s="103"/>
      <c r="AT24" s="103"/>
      <c r="AU24" s="103"/>
      <c r="AV24" s="103"/>
      <c r="AW24" s="103"/>
      <c r="AX24" s="103"/>
      <c r="AY24" s="103"/>
      <c r="AZ24" s="103"/>
      <c r="BA24" s="103"/>
    </row>
    <row r="25" spans="1:53" s="102" customFormat="1" x14ac:dyDescent="0.3">
      <c r="A25" s="278"/>
      <c r="B25" s="279"/>
      <c r="C25" s="217">
        <f t="shared" si="6"/>
        <v>22</v>
      </c>
      <c r="D25" s="221">
        <v>1</v>
      </c>
      <c r="E25" s="219">
        <f t="shared" si="2"/>
        <v>3500</v>
      </c>
      <c r="F25" s="97">
        <f t="shared" si="3"/>
        <v>2.4500000000000002</v>
      </c>
      <c r="G25" s="109">
        <f t="shared" si="4"/>
        <v>8575</v>
      </c>
      <c r="H25" s="109">
        <f t="shared" si="8"/>
        <v>2963.7660674599742</v>
      </c>
      <c r="I25" s="109">
        <f t="shared" si="5"/>
        <v>5611.2339325400262</v>
      </c>
      <c r="J25" s="109">
        <f t="shared" si="1"/>
        <v>1032.1332146358686</v>
      </c>
      <c r="K25" s="109">
        <f t="shared" si="7"/>
        <v>4485.2938179108005</v>
      </c>
      <c r="L25" s="220">
        <f t="shared" si="9"/>
        <v>439.72066223880825</v>
      </c>
      <c r="M25" s="350"/>
      <c r="N25" s="279"/>
      <c r="O25" s="287">
        <v>1</v>
      </c>
      <c r="P25" s="279"/>
      <c r="Q25" s="279"/>
      <c r="R25" s="287"/>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103"/>
      <c r="AR25" s="103"/>
      <c r="AS25" s="103"/>
      <c r="AT25" s="103"/>
      <c r="AU25" s="103"/>
      <c r="AV25" s="103"/>
      <c r="AW25" s="103"/>
      <c r="AX25" s="103"/>
      <c r="AY25" s="103"/>
      <c r="AZ25" s="103"/>
      <c r="BA25" s="103"/>
    </row>
    <row r="26" spans="1:53" s="102" customFormat="1" x14ac:dyDescent="0.3">
      <c r="A26" s="278"/>
      <c r="B26" s="279"/>
      <c r="C26" s="217">
        <f t="shared" si="6"/>
        <v>23</v>
      </c>
      <c r="D26" s="221">
        <v>1</v>
      </c>
      <c r="E26" s="219">
        <f t="shared" si="2"/>
        <v>3500</v>
      </c>
      <c r="F26" s="97">
        <f t="shared" si="3"/>
        <v>2.4500000000000002</v>
      </c>
      <c r="G26" s="109">
        <f t="shared" si="4"/>
        <v>8575</v>
      </c>
      <c r="H26" s="109">
        <f t="shared" si="8"/>
        <v>2963.7660674599742</v>
      </c>
      <c r="I26" s="109">
        <f t="shared" si="5"/>
        <v>5611.2339325400262</v>
      </c>
      <c r="J26" s="109">
        <f t="shared" si="1"/>
        <v>955.67890244061903</v>
      </c>
      <c r="K26" s="109">
        <f t="shared" si="7"/>
        <v>5440.9727203514194</v>
      </c>
      <c r="L26" s="220">
        <f t="shared" si="9"/>
        <v>524.64681415587995</v>
      </c>
      <c r="M26" s="350"/>
      <c r="N26" s="279"/>
      <c r="O26" s="287">
        <v>1</v>
      </c>
      <c r="P26" s="279"/>
      <c r="Q26" s="279"/>
      <c r="R26" s="287"/>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103"/>
      <c r="AR26" s="103"/>
      <c r="AS26" s="103"/>
      <c r="AT26" s="103"/>
      <c r="AU26" s="103"/>
      <c r="AV26" s="103"/>
      <c r="AW26" s="103"/>
      <c r="AX26" s="103"/>
      <c r="AY26" s="103"/>
      <c r="AZ26" s="103"/>
      <c r="BA26" s="103"/>
    </row>
    <row r="27" spans="1:53" s="102" customFormat="1" ht="16.2" thickBot="1" x14ac:dyDescent="0.35">
      <c r="A27" s="278"/>
      <c r="B27" s="279"/>
      <c r="C27" s="217">
        <f t="shared" si="6"/>
        <v>24</v>
      </c>
      <c r="D27" s="221">
        <v>1</v>
      </c>
      <c r="E27" s="219">
        <f t="shared" si="2"/>
        <v>3500</v>
      </c>
      <c r="F27" s="97">
        <f t="shared" si="3"/>
        <v>2.4500000000000002</v>
      </c>
      <c r="G27" s="109">
        <f t="shared" si="4"/>
        <v>8575</v>
      </c>
      <c r="H27" s="109">
        <f t="shared" si="8"/>
        <v>2963.7660674599742</v>
      </c>
      <c r="I27" s="109">
        <f t="shared" si="5"/>
        <v>5611.2339325400262</v>
      </c>
      <c r="J27" s="109">
        <f t="shared" si="1"/>
        <v>884.88787263020276</v>
      </c>
      <c r="K27" s="109">
        <f t="shared" si="7"/>
        <v>6325.8605929816222</v>
      </c>
      <c r="L27" s="220">
        <f t="shared" si="9"/>
        <v>600.83232247121828</v>
      </c>
      <c r="M27" s="350"/>
      <c r="N27" s="279"/>
      <c r="O27" s="287">
        <v>1</v>
      </c>
      <c r="P27" s="279"/>
      <c r="Q27" s="279"/>
      <c r="R27" s="287"/>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279"/>
      <c r="AQ27" s="103"/>
      <c r="AR27" s="103"/>
      <c r="AS27" s="103"/>
      <c r="AT27" s="103"/>
      <c r="AU27" s="103"/>
      <c r="AV27" s="103"/>
      <c r="AW27" s="103"/>
      <c r="AX27" s="103"/>
      <c r="AY27" s="103"/>
      <c r="AZ27" s="103"/>
      <c r="BA27" s="103"/>
    </row>
    <row r="28" spans="1:53" s="102" customFormat="1" ht="16.2" thickBot="1" x14ac:dyDescent="0.35">
      <c r="A28" s="278"/>
      <c r="B28" s="279"/>
      <c r="C28" s="217">
        <f t="shared" si="6"/>
        <v>25</v>
      </c>
      <c r="D28" s="221">
        <v>1</v>
      </c>
      <c r="E28" s="219">
        <f t="shared" si="2"/>
        <v>3500</v>
      </c>
      <c r="F28" s="97">
        <f t="shared" si="3"/>
        <v>2.4500000000000002</v>
      </c>
      <c r="G28" s="109">
        <f t="shared" si="4"/>
        <v>8575</v>
      </c>
      <c r="H28" s="109">
        <f t="shared" si="8"/>
        <v>2963.7660674599742</v>
      </c>
      <c r="I28" s="109">
        <f t="shared" si="5"/>
        <v>5611.2339325400262</v>
      </c>
      <c r="J28" s="109">
        <f t="shared" si="1"/>
        <v>819.34062280574324</v>
      </c>
      <c r="K28" s="109">
        <f t="shared" si="7"/>
        <v>7145.2012157873651</v>
      </c>
      <c r="L28" s="358">
        <f t="shared" si="9"/>
        <v>669.36740475465069</v>
      </c>
      <c r="M28" s="350">
        <v>25</v>
      </c>
      <c r="N28" s="279"/>
      <c r="O28" s="287">
        <v>1</v>
      </c>
      <c r="P28" s="279"/>
      <c r="Q28" s="279"/>
      <c r="R28" s="287"/>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103"/>
      <c r="AR28" s="103"/>
      <c r="AS28" s="103"/>
      <c r="AT28" s="103"/>
      <c r="AU28" s="103"/>
      <c r="AV28" s="103"/>
      <c r="AW28" s="103"/>
      <c r="AX28" s="103"/>
      <c r="AY28" s="103"/>
      <c r="AZ28" s="103"/>
      <c r="BA28" s="103"/>
    </row>
    <row r="29" spans="1:53" s="102" customFormat="1" x14ac:dyDescent="0.3">
      <c r="A29" s="278"/>
      <c r="B29" s="279"/>
      <c r="C29" s="217">
        <f t="shared" si="6"/>
        <v>26</v>
      </c>
      <c r="D29" s="221">
        <v>1</v>
      </c>
      <c r="E29" s="219">
        <f t="shared" si="2"/>
        <v>3500</v>
      </c>
      <c r="F29" s="97">
        <f t="shared" si="3"/>
        <v>2.4500000000000002</v>
      </c>
      <c r="G29" s="109">
        <f t="shared" si="4"/>
        <v>8575</v>
      </c>
      <c r="H29" s="109">
        <f t="shared" si="8"/>
        <v>2963.7660674599742</v>
      </c>
      <c r="I29" s="109">
        <f t="shared" si="5"/>
        <v>5611.2339325400262</v>
      </c>
      <c r="J29" s="109">
        <f t="shared" si="1"/>
        <v>758.64872482013266</v>
      </c>
      <c r="K29" s="109">
        <f t="shared" si="7"/>
        <v>7903.849940607498</v>
      </c>
      <c r="L29" s="220">
        <f t="shared" si="9"/>
        <v>731.17495495157812</v>
      </c>
      <c r="M29" s="350"/>
      <c r="N29" s="279"/>
      <c r="O29" s="287">
        <v>1</v>
      </c>
      <c r="P29" s="279"/>
      <c r="Q29" s="279"/>
      <c r="R29" s="287"/>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103"/>
      <c r="AR29" s="103"/>
      <c r="AS29" s="103"/>
      <c r="AT29" s="103"/>
      <c r="AU29" s="103"/>
      <c r="AV29" s="103"/>
      <c r="AW29" s="103"/>
      <c r="AX29" s="103"/>
      <c r="AY29" s="103"/>
      <c r="AZ29" s="103"/>
      <c r="BA29" s="103"/>
    </row>
    <row r="30" spans="1:53" s="102" customFormat="1" x14ac:dyDescent="0.3">
      <c r="A30" s="278"/>
      <c r="B30" s="279"/>
      <c r="C30" s="217">
        <f t="shared" si="6"/>
        <v>27</v>
      </c>
      <c r="D30" s="221">
        <v>1</v>
      </c>
      <c r="E30" s="219">
        <f t="shared" si="2"/>
        <v>3500</v>
      </c>
      <c r="F30" s="97">
        <f t="shared" si="3"/>
        <v>2.4500000000000002</v>
      </c>
      <c r="G30" s="109">
        <f t="shared" si="4"/>
        <v>8575</v>
      </c>
      <c r="H30" s="109">
        <f t="shared" si="8"/>
        <v>2963.7660674599742</v>
      </c>
      <c r="I30" s="109">
        <f t="shared" si="5"/>
        <v>5611.2339325400262</v>
      </c>
      <c r="J30" s="109">
        <f t="shared" si="1"/>
        <v>702.45252298160437</v>
      </c>
      <c r="K30" s="109">
        <f t="shared" si="7"/>
        <v>8606.3024635891015</v>
      </c>
      <c r="L30" s="220">
        <f t="shared" si="9"/>
        <v>787.04142377790231</v>
      </c>
      <c r="M30" s="350"/>
      <c r="N30" s="279"/>
      <c r="O30" s="287">
        <v>1</v>
      </c>
      <c r="P30" s="279"/>
      <c r="Q30" s="279"/>
      <c r="R30" s="287"/>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103"/>
      <c r="AR30" s="103"/>
      <c r="AS30" s="103"/>
      <c r="AT30" s="103"/>
      <c r="AU30" s="103"/>
      <c r="AV30" s="103"/>
      <c r="AW30" s="103"/>
      <c r="AX30" s="103"/>
      <c r="AY30" s="103"/>
      <c r="AZ30" s="103"/>
      <c r="BA30" s="103"/>
    </row>
    <row r="31" spans="1:53" s="102" customFormat="1" x14ac:dyDescent="0.3">
      <c r="A31" s="278"/>
      <c r="B31" s="279"/>
      <c r="C31" s="217">
        <f t="shared" si="6"/>
        <v>28</v>
      </c>
      <c r="D31" s="221">
        <v>1</v>
      </c>
      <c r="E31" s="219">
        <f t="shared" si="2"/>
        <v>3500</v>
      </c>
      <c r="F31" s="97">
        <f t="shared" si="3"/>
        <v>2.4500000000000002</v>
      </c>
      <c r="G31" s="109">
        <f t="shared" si="4"/>
        <v>8575</v>
      </c>
      <c r="H31" s="109">
        <f t="shared" si="8"/>
        <v>2963.7660674599742</v>
      </c>
      <c r="I31" s="109">
        <f t="shared" si="5"/>
        <v>5611.2339325400262</v>
      </c>
      <c r="J31" s="109">
        <f t="shared" si="1"/>
        <v>650.41900276074477</v>
      </c>
      <c r="K31" s="109">
        <f t="shared" si="7"/>
        <v>9256.7214663498471</v>
      </c>
      <c r="L31" s="220">
        <f t="shared" si="9"/>
        <v>837.64108518948899</v>
      </c>
      <c r="M31" s="350"/>
      <c r="N31" s="279"/>
      <c r="O31" s="287">
        <v>1</v>
      </c>
      <c r="P31" s="279"/>
      <c r="Q31" s="279"/>
      <c r="R31" s="287"/>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103"/>
      <c r="AR31" s="103"/>
      <c r="AS31" s="103"/>
      <c r="AT31" s="103"/>
      <c r="AU31" s="103"/>
      <c r="AV31" s="103"/>
      <c r="AW31" s="103"/>
      <c r="AX31" s="103"/>
      <c r="AY31" s="103"/>
      <c r="AZ31" s="103"/>
      <c r="BA31" s="103"/>
    </row>
    <row r="32" spans="1:53" s="102" customFormat="1" ht="16.2" thickBot="1" x14ac:dyDescent="0.35">
      <c r="A32" s="278"/>
      <c r="B32" s="279"/>
      <c r="C32" s="217">
        <f t="shared" si="6"/>
        <v>29</v>
      </c>
      <c r="D32" s="221">
        <v>1</v>
      </c>
      <c r="E32" s="219">
        <f t="shared" si="2"/>
        <v>3500</v>
      </c>
      <c r="F32" s="97">
        <f t="shared" si="3"/>
        <v>2.4500000000000002</v>
      </c>
      <c r="G32" s="109">
        <f t="shared" si="4"/>
        <v>8575</v>
      </c>
      <c r="H32" s="109">
        <f t="shared" si="8"/>
        <v>2963.7660674599742</v>
      </c>
      <c r="I32" s="109">
        <f t="shared" si="5"/>
        <v>5611.2339325400262</v>
      </c>
      <c r="J32" s="109">
        <f t="shared" si="1"/>
        <v>602.23981737105987</v>
      </c>
      <c r="K32" s="109">
        <f t="shared" si="7"/>
        <v>9858.9612837209061</v>
      </c>
      <c r="L32" s="220">
        <f t="shared" si="9"/>
        <v>883.55528575444316</v>
      </c>
      <c r="M32" s="350"/>
      <c r="N32" s="279"/>
      <c r="O32" s="287">
        <v>1</v>
      </c>
      <c r="P32" s="279"/>
      <c r="Q32" s="279"/>
      <c r="R32" s="287"/>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103"/>
      <c r="AR32" s="103"/>
      <c r="AS32" s="103"/>
      <c r="AT32" s="103"/>
      <c r="AU32" s="103"/>
      <c r="AV32" s="103"/>
      <c r="AW32" s="103"/>
      <c r="AX32" s="103"/>
      <c r="AY32" s="103"/>
      <c r="AZ32" s="103"/>
      <c r="BA32" s="103"/>
    </row>
    <row r="33" spans="1:53" s="102" customFormat="1" ht="16.2" thickBot="1" x14ac:dyDescent="0.35">
      <c r="A33" s="278"/>
      <c r="B33" s="279"/>
      <c r="C33" s="217">
        <f t="shared" si="6"/>
        <v>30</v>
      </c>
      <c r="D33" s="221">
        <v>1</v>
      </c>
      <c r="E33" s="219">
        <f t="shared" si="2"/>
        <v>3500</v>
      </c>
      <c r="F33" s="97">
        <f t="shared" si="3"/>
        <v>2.4500000000000002</v>
      </c>
      <c r="G33" s="109">
        <f t="shared" si="4"/>
        <v>8575</v>
      </c>
      <c r="H33" s="109">
        <f t="shared" si="8"/>
        <v>2963.7660674599742</v>
      </c>
      <c r="I33" s="109">
        <f t="shared" si="5"/>
        <v>5611.2339325400262</v>
      </c>
      <c r="J33" s="109">
        <f t="shared" si="1"/>
        <v>557.62946052875907</v>
      </c>
      <c r="K33" s="109">
        <f t="shared" si="7"/>
        <v>10416.590744249665</v>
      </c>
      <c r="L33" s="361">
        <f t="shared" si="9"/>
        <v>925.28784789070153</v>
      </c>
      <c r="M33" s="350">
        <v>30</v>
      </c>
      <c r="N33" s="279"/>
      <c r="O33" s="287">
        <v>1</v>
      </c>
      <c r="P33" s="279"/>
      <c r="Q33" s="279"/>
      <c r="R33" s="287"/>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103"/>
      <c r="AR33" s="103"/>
      <c r="AS33" s="103"/>
      <c r="AT33" s="103"/>
      <c r="AU33" s="103"/>
      <c r="AV33" s="103"/>
      <c r="AW33" s="103"/>
      <c r="AX33" s="103"/>
      <c r="AY33" s="103"/>
      <c r="AZ33" s="103"/>
      <c r="BA33" s="103"/>
    </row>
    <row r="34" spans="1:53" s="102" customFormat="1" x14ac:dyDescent="0.3">
      <c r="A34" s="278"/>
      <c r="B34" s="279"/>
      <c r="C34" s="217">
        <f t="shared" si="6"/>
        <v>31</v>
      </c>
      <c r="D34" s="221">
        <v>1</v>
      </c>
      <c r="E34" s="219">
        <f t="shared" si="2"/>
        <v>3500</v>
      </c>
      <c r="F34" s="97">
        <f t="shared" si="3"/>
        <v>2.4500000000000002</v>
      </c>
      <c r="G34" s="109">
        <f t="shared" si="4"/>
        <v>8575</v>
      </c>
      <c r="H34" s="109">
        <f t="shared" si="8"/>
        <v>2963.7660674599742</v>
      </c>
      <c r="I34" s="109">
        <f t="shared" si="5"/>
        <v>5611.2339325400262</v>
      </c>
      <c r="J34" s="109">
        <f t="shared" si="1"/>
        <v>516.32357456366572</v>
      </c>
      <c r="K34" s="109">
        <f t="shared" si="7"/>
        <v>10932.914318813331</v>
      </c>
      <c r="L34" s="220">
        <f t="shared" si="9"/>
        <v>963.27749570407354</v>
      </c>
      <c r="M34" s="350"/>
      <c r="N34" s="279"/>
      <c r="O34" s="287">
        <v>1</v>
      </c>
      <c r="P34" s="279"/>
      <c r="Q34" s="279"/>
      <c r="R34" s="287"/>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103"/>
      <c r="AR34" s="103"/>
      <c r="AS34" s="103"/>
      <c r="AT34" s="103"/>
      <c r="AU34" s="103"/>
      <c r="AV34" s="103"/>
      <c r="AW34" s="103"/>
      <c r="AX34" s="103"/>
      <c r="AY34" s="103"/>
      <c r="AZ34" s="103"/>
      <c r="BA34" s="103"/>
    </row>
    <row r="35" spans="1:53" s="102" customFormat="1" x14ac:dyDescent="0.3">
      <c r="A35" s="278"/>
      <c r="B35" s="279"/>
      <c r="C35" s="217">
        <f t="shared" si="6"/>
        <v>32</v>
      </c>
      <c r="D35" s="221">
        <v>1</v>
      </c>
      <c r="E35" s="219">
        <f t="shared" si="2"/>
        <v>3500</v>
      </c>
      <c r="F35" s="97">
        <f t="shared" si="3"/>
        <v>2.4500000000000002</v>
      </c>
      <c r="G35" s="109">
        <f t="shared" si="4"/>
        <v>8575</v>
      </c>
      <c r="H35" s="109">
        <f t="shared" si="8"/>
        <v>2963.7660674599742</v>
      </c>
      <c r="I35" s="109">
        <f t="shared" si="5"/>
        <v>5611.2339325400262</v>
      </c>
      <c r="J35" s="109">
        <f t="shared" ref="J35:J56" si="10">I35/(1+$U$4)^C35</f>
        <v>478.07738385524607</v>
      </c>
      <c r="K35" s="109">
        <f t="shared" si="7"/>
        <v>11410.991702668578</v>
      </c>
      <c r="L35" s="220">
        <f t="shared" si="9"/>
        <v>997.90795493640405</v>
      </c>
      <c r="M35" s="350"/>
      <c r="N35" s="279"/>
      <c r="O35" s="287">
        <v>1</v>
      </c>
      <c r="P35" s="279"/>
      <c r="Q35" s="279"/>
      <c r="R35" s="287"/>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103"/>
      <c r="AR35" s="103"/>
      <c r="AS35" s="103"/>
      <c r="AT35" s="103"/>
      <c r="AU35" s="103"/>
      <c r="AV35" s="103"/>
      <c r="AW35" s="103"/>
      <c r="AX35" s="103"/>
      <c r="AY35" s="103"/>
      <c r="AZ35" s="103"/>
      <c r="BA35" s="103"/>
    </row>
    <row r="36" spans="1:53" s="102" customFormat="1" x14ac:dyDescent="0.3">
      <c r="A36" s="278"/>
      <c r="B36" s="279"/>
      <c r="C36" s="217">
        <f t="shared" si="6"/>
        <v>33</v>
      </c>
      <c r="D36" s="221">
        <v>1</v>
      </c>
      <c r="E36" s="219">
        <f t="shared" ref="E36:E56" si="11">$U$5*D36</f>
        <v>3500</v>
      </c>
      <c r="F36" s="97">
        <f t="shared" ref="F36:F56" si="12">$U$3</f>
        <v>2.4500000000000002</v>
      </c>
      <c r="G36" s="109">
        <f t="shared" si="4"/>
        <v>8575</v>
      </c>
      <c r="H36" s="109">
        <f t="shared" si="8"/>
        <v>2963.7660674599742</v>
      </c>
      <c r="I36" s="109">
        <f t="shared" si="5"/>
        <v>5611.2339325400262</v>
      </c>
      <c r="J36" s="109">
        <f t="shared" si="10"/>
        <v>442.66424431041304</v>
      </c>
      <c r="K36" s="109">
        <f t="shared" si="7"/>
        <v>11853.655946978992</v>
      </c>
      <c r="L36" s="220">
        <f t="shared" si="9"/>
        <v>1029.5162205522392</v>
      </c>
      <c r="M36" s="350"/>
      <c r="N36" s="279"/>
      <c r="O36" s="287">
        <v>1</v>
      </c>
      <c r="P36" s="279"/>
      <c r="Q36" s="279"/>
      <c r="R36" s="287"/>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103"/>
      <c r="AR36" s="103"/>
      <c r="AS36" s="103"/>
      <c r="AT36" s="103"/>
      <c r="AU36" s="103"/>
      <c r="AV36" s="103"/>
      <c r="AW36" s="103"/>
      <c r="AX36" s="103"/>
      <c r="AY36" s="103"/>
      <c r="AZ36" s="103"/>
      <c r="BA36" s="103"/>
    </row>
    <row r="37" spans="1:53" s="102" customFormat="1" ht="16.2" thickBot="1" x14ac:dyDescent="0.35">
      <c r="A37" s="278"/>
      <c r="B37" s="279"/>
      <c r="C37" s="217">
        <f t="shared" si="6"/>
        <v>34</v>
      </c>
      <c r="D37" s="221">
        <v>1</v>
      </c>
      <c r="E37" s="219">
        <f t="shared" si="11"/>
        <v>3500</v>
      </c>
      <c r="F37" s="97">
        <f t="shared" si="12"/>
        <v>2.4500000000000002</v>
      </c>
      <c r="G37" s="109">
        <f t="shared" si="4"/>
        <v>8575</v>
      </c>
      <c r="H37" s="109">
        <f t="shared" si="8"/>
        <v>2963.7660674599742</v>
      </c>
      <c r="I37" s="109">
        <f t="shared" si="5"/>
        <v>5611.2339325400262</v>
      </c>
      <c r="J37" s="109">
        <f t="shared" si="10"/>
        <v>409.87430028741943</v>
      </c>
      <c r="K37" s="109">
        <f t="shared" si="7"/>
        <v>12263.530247266412</v>
      </c>
      <c r="L37" s="220">
        <f t="shared" si="9"/>
        <v>1058.3993693309085</v>
      </c>
      <c r="M37" s="350"/>
      <c r="N37" s="279"/>
      <c r="O37" s="287">
        <v>1</v>
      </c>
      <c r="P37" s="279"/>
      <c r="Q37" s="279"/>
      <c r="R37" s="287"/>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103"/>
      <c r="AR37" s="103"/>
      <c r="AS37" s="103"/>
      <c r="AT37" s="103"/>
      <c r="AU37" s="103"/>
      <c r="AV37" s="103"/>
      <c r="AW37" s="103"/>
      <c r="AX37" s="103"/>
      <c r="AY37" s="103"/>
      <c r="AZ37" s="103"/>
      <c r="BA37" s="103"/>
    </row>
    <row r="38" spans="1:53" s="102" customFormat="1" ht="16.2" thickBot="1" x14ac:dyDescent="0.35">
      <c r="A38" s="278"/>
      <c r="B38" s="279"/>
      <c r="C38" s="217">
        <f t="shared" si="6"/>
        <v>35</v>
      </c>
      <c r="D38" s="221">
        <v>1</v>
      </c>
      <c r="E38" s="219">
        <f t="shared" si="11"/>
        <v>3500</v>
      </c>
      <c r="F38" s="97">
        <f t="shared" si="12"/>
        <v>2.4500000000000002</v>
      </c>
      <c r="G38" s="109">
        <f t="shared" si="4"/>
        <v>8575</v>
      </c>
      <c r="H38" s="109">
        <f t="shared" si="8"/>
        <v>2963.7660674599742</v>
      </c>
      <c r="I38" s="109">
        <f t="shared" si="5"/>
        <v>5611.2339325400262</v>
      </c>
      <c r="J38" s="109">
        <f t="shared" si="10"/>
        <v>379.51324100686986</v>
      </c>
      <c r="K38" s="109">
        <f t="shared" si="7"/>
        <v>12643.043488273281</v>
      </c>
      <c r="L38" s="358">
        <f t="shared" si="9"/>
        <v>1084.8202085410533</v>
      </c>
      <c r="M38" s="350">
        <v>35</v>
      </c>
      <c r="N38" s="279"/>
      <c r="O38" s="287">
        <v>1</v>
      </c>
      <c r="P38" s="279"/>
      <c r="Q38" s="279"/>
      <c r="R38" s="287"/>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103"/>
      <c r="AR38" s="103"/>
      <c r="AS38" s="103"/>
      <c r="AT38" s="103"/>
      <c r="AU38" s="103"/>
      <c r="AV38" s="103"/>
      <c r="AW38" s="103"/>
      <c r="AX38" s="103"/>
      <c r="AY38" s="103"/>
      <c r="AZ38" s="103"/>
      <c r="BA38" s="103"/>
    </row>
    <row r="39" spans="1:53" s="102" customFormat="1" x14ac:dyDescent="0.3">
      <c r="A39" s="278"/>
      <c r="B39" s="279"/>
      <c r="C39" s="217">
        <f t="shared" si="6"/>
        <v>36</v>
      </c>
      <c r="D39" s="221">
        <v>1</v>
      </c>
      <c r="E39" s="219">
        <f t="shared" si="11"/>
        <v>3500</v>
      </c>
      <c r="F39" s="97">
        <f t="shared" si="12"/>
        <v>2.4500000000000002</v>
      </c>
      <c r="G39" s="109">
        <f t="shared" si="4"/>
        <v>8575</v>
      </c>
      <c r="H39" s="109">
        <f t="shared" si="8"/>
        <v>2963.7660674599742</v>
      </c>
      <c r="I39" s="109">
        <f t="shared" si="5"/>
        <v>5611.2339325400262</v>
      </c>
      <c r="J39" s="109">
        <f t="shared" si="10"/>
        <v>351.401149080435</v>
      </c>
      <c r="K39" s="109">
        <f t="shared" si="7"/>
        <v>12994.444637353716</v>
      </c>
      <c r="L39" s="220">
        <f t="shared" si="9"/>
        <v>1109.0119870589792</v>
      </c>
      <c r="M39" s="350"/>
      <c r="N39" s="279"/>
      <c r="O39" s="287">
        <v>1</v>
      </c>
      <c r="P39" s="279"/>
      <c r="Q39" s="279"/>
      <c r="R39" s="287"/>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103"/>
      <c r="AR39" s="103"/>
      <c r="AS39" s="103"/>
      <c r="AT39" s="103"/>
      <c r="AU39" s="103"/>
      <c r="AV39" s="103"/>
      <c r="AW39" s="103"/>
      <c r="AX39" s="103"/>
      <c r="AY39" s="103"/>
      <c r="AZ39" s="103"/>
      <c r="BA39" s="103"/>
    </row>
    <row r="40" spans="1:53" s="102" customFormat="1" x14ac:dyDescent="0.3">
      <c r="A40" s="278"/>
      <c r="B40" s="279"/>
      <c r="C40" s="217">
        <f t="shared" si="6"/>
        <v>37</v>
      </c>
      <c r="D40" s="221">
        <v>1</v>
      </c>
      <c r="E40" s="219">
        <f t="shared" si="11"/>
        <v>3500</v>
      </c>
      <c r="F40" s="97">
        <f t="shared" si="12"/>
        <v>2.4500000000000002</v>
      </c>
      <c r="G40" s="109">
        <f t="shared" si="4"/>
        <v>8575</v>
      </c>
      <c r="H40" s="109">
        <f t="shared" si="8"/>
        <v>2963.7660674599742</v>
      </c>
      <c r="I40" s="109">
        <f t="shared" si="5"/>
        <v>5611.2339325400262</v>
      </c>
      <c r="J40" s="109">
        <f t="shared" si="10"/>
        <v>325.37143433373609</v>
      </c>
      <c r="K40" s="109">
        <f t="shared" si="7"/>
        <v>13319.816071687452</v>
      </c>
      <c r="L40" s="220">
        <f t="shared" si="9"/>
        <v>1131.1823463200813</v>
      </c>
      <c r="M40" s="350"/>
      <c r="N40" s="279"/>
      <c r="O40" s="287">
        <v>1</v>
      </c>
      <c r="P40" s="279"/>
      <c r="Q40" s="279"/>
      <c r="R40" s="287"/>
      <c r="S40" s="279"/>
      <c r="T40" s="279"/>
      <c r="U40" s="279"/>
      <c r="V40" s="279"/>
      <c r="W40" s="279"/>
      <c r="X40" s="279"/>
      <c r="Y40" s="279"/>
      <c r="Z40" s="279"/>
      <c r="AA40" s="279"/>
      <c r="AB40" s="279"/>
      <c r="AC40" s="279"/>
      <c r="AD40" s="279"/>
      <c r="AE40" s="279"/>
      <c r="AF40" s="279"/>
      <c r="AG40" s="279"/>
      <c r="AH40" s="279"/>
      <c r="AI40" s="279"/>
      <c r="AJ40" s="279"/>
      <c r="AK40" s="279"/>
      <c r="AL40" s="279"/>
      <c r="AM40" s="279"/>
      <c r="AN40" s="279"/>
      <c r="AO40" s="279"/>
      <c r="AP40" s="279"/>
      <c r="AQ40" s="103"/>
      <c r="AR40" s="103"/>
      <c r="AS40" s="103"/>
      <c r="AT40" s="103"/>
      <c r="AU40" s="103"/>
      <c r="AV40" s="103"/>
      <c r="AW40" s="103"/>
      <c r="AX40" s="103"/>
      <c r="AY40" s="103"/>
      <c r="AZ40" s="103"/>
      <c r="BA40" s="103"/>
    </row>
    <row r="41" spans="1:53" s="102" customFormat="1" x14ac:dyDescent="0.3">
      <c r="A41" s="278"/>
      <c r="B41" s="279"/>
      <c r="C41" s="217">
        <f t="shared" si="6"/>
        <v>38</v>
      </c>
      <c r="D41" s="221">
        <v>1</v>
      </c>
      <c r="E41" s="219">
        <f t="shared" si="11"/>
        <v>3500</v>
      </c>
      <c r="F41" s="97">
        <f t="shared" si="12"/>
        <v>2.4500000000000002</v>
      </c>
      <c r="G41" s="109">
        <f t="shared" si="4"/>
        <v>8575</v>
      </c>
      <c r="H41" s="109">
        <f t="shared" si="8"/>
        <v>2963.7660674599742</v>
      </c>
      <c r="I41" s="109">
        <f t="shared" si="5"/>
        <v>5611.2339325400262</v>
      </c>
      <c r="J41" s="109">
        <f t="shared" si="10"/>
        <v>301.26984660531116</v>
      </c>
      <c r="K41" s="109">
        <f t="shared" si="7"/>
        <v>13621.085918292763</v>
      </c>
      <c r="L41" s="220">
        <f t="shared" si="9"/>
        <v>1151.5166511211512</v>
      </c>
      <c r="M41" s="350"/>
      <c r="N41" s="279"/>
      <c r="O41" s="287">
        <v>1</v>
      </c>
      <c r="P41" s="279"/>
      <c r="Q41" s="279"/>
      <c r="R41" s="287"/>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103"/>
      <c r="AR41" s="103"/>
      <c r="AS41" s="103"/>
      <c r="AT41" s="103"/>
      <c r="AU41" s="103"/>
      <c r="AV41" s="103"/>
      <c r="AW41" s="103"/>
      <c r="AX41" s="103"/>
      <c r="AY41" s="103"/>
      <c r="AZ41" s="103"/>
      <c r="BA41" s="103"/>
    </row>
    <row r="42" spans="1:53" s="102" customFormat="1" ht="16.2" thickBot="1" x14ac:dyDescent="0.35">
      <c r="A42" s="278"/>
      <c r="B42" s="279"/>
      <c r="C42" s="217">
        <f t="shared" si="6"/>
        <v>39</v>
      </c>
      <c r="D42" s="221">
        <v>1</v>
      </c>
      <c r="E42" s="219">
        <f t="shared" si="11"/>
        <v>3500</v>
      </c>
      <c r="F42" s="97">
        <f t="shared" si="12"/>
        <v>2.4500000000000002</v>
      </c>
      <c r="G42" s="109">
        <f t="shared" si="4"/>
        <v>8575</v>
      </c>
      <c r="H42" s="109">
        <f t="shared" si="8"/>
        <v>2963.7660674599742</v>
      </c>
      <c r="I42" s="109">
        <f t="shared" si="5"/>
        <v>5611.2339325400262</v>
      </c>
      <c r="J42" s="109">
        <f t="shared" si="10"/>
        <v>278.9535616715844</v>
      </c>
      <c r="K42" s="109">
        <f t="shared" si="7"/>
        <v>13900.039479964347</v>
      </c>
      <c r="L42" s="220">
        <f t="shared" si="9"/>
        <v>1170.1808115461974</v>
      </c>
      <c r="M42" s="350"/>
      <c r="N42" s="279"/>
      <c r="O42" s="287">
        <v>1</v>
      </c>
      <c r="P42" s="279"/>
      <c r="Q42" s="279"/>
      <c r="R42" s="287"/>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103"/>
      <c r="AR42" s="103"/>
      <c r="AS42" s="103"/>
      <c r="AT42" s="103"/>
      <c r="AU42" s="103"/>
      <c r="AV42" s="103"/>
      <c r="AW42" s="103"/>
      <c r="AX42" s="103"/>
      <c r="AY42" s="103"/>
      <c r="AZ42" s="103"/>
      <c r="BA42" s="103"/>
    </row>
    <row r="43" spans="1:53" s="102" customFormat="1" ht="16.2" thickBot="1" x14ac:dyDescent="0.35">
      <c r="A43" s="278"/>
      <c r="B43" s="279"/>
      <c r="C43" s="217">
        <f t="shared" si="6"/>
        <v>40</v>
      </c>
      <c r="D43" s="221">
        <v>1</v>
      </c>
      <c r="E43" s="219">
        <f t="shared" si="11"/>
        <v>3500</v>
      </c>
      <c r="F43" s="97">
        <f t="shared" si="12"/>
        <v>2.4500000000000002</v>
      </c>
      <c r="G43" s="109">
        <f t="shared" si="4"/>
        <v>8575</v>
      </c>
      <c r="H43" s="109">
        <f t="shared" si="8"/>
        <v>2963.7660674599742</v>
      </c>
      <c r="I43" s="109">
        <f t="shared" si="5"/>
        <v>5611.2339325400262</v>
      </c>
      <c r="J43" s="109">
        <f t="shared" si="10"/>
        <v>258.29033488109667</v>
      </c>
      <c r="K43" s="109">
        <f t="shared" si="7"/>
        <v>14158.329814845443</v>
      </c>
      <c r="L43" s="358">
        <f t="shared" si="9"/>
        <v>1187.3236850129922</v>
      </c>
      <c r="M43" s="350">
        <v>40</v>
      </c>
      <c r="N43" s="279"/>
      <c r="O43" s="287">
        <v>1</v>
      </c>
      <c r="P43" s="279"/>
      <c r="Q43" s="279"/>
      <c r="R43" s="287"/>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103"/>
      <c r="AR43" s="103"/>
      <c r="AS43" s="103"/>
      <c r="AT43" s="103"/>
      <c r="AU43" s="103"/>
      <c r="AV43" s="103"/>
      <c r="AW43" s="103"/>
      <c r="AX43" s="103"/>
      <c r="AY43" s="103"/>
      <c r="AZ43" s="103"/>
      <c r="BA43" s="103"/>
    </row>
    <row r="44" spans="1:53" x14ac:dyDescent="0.3">
      <c r="B44" s="279"/>
      <c r="C44" s="217">
        <f t="shared" si="6"/>
        <v>41</v>
      </c>
      <c r="D44" s="221">
        <v>1</v>
      </c>
      <c r="E44" s="219">
        <f t="shared" si="11"/>
        <v>3500</v>
      </c>
      <c r="F44" s="97">
        <f t="shared" si="12"/>
        <v>2.4500000000000002</v>
      </c>
      <c r="G44" s="109">
        <f t="shared" si="4"/>
        <v>8575</v>
      </c>
      <c r="H44" s="109">
        <f t="shared" si="8"/>
        <v>2963.7660674599742</v>
      </c>
      <c r="I44" s="109">
        <f t="shared" si="5"/>
        <v>5611.2339325400262</v>
      </c>
      <c r="J44" s="109">
        <f t="shared" si="10"/>
        <v>239.15771748249688</v>
      </c>
      <c r="K44" s="109">
        <f t="shared" si="7"/>
        <v>14397.487532327939</v>
      </c>
      <c r="L44" s="220">
        <f t="shared" si="9"/>
        <v>1203.0791300539706</v>
      </c>
      <c r="M44" s="350"/>
      <c r="N44" s="279"/>
      <c r="O44" s="287">
        <v>1</v>
      </c>
      <c r="P44" s="279"/>
      <c r="Q44" s="279"/>
      <c r="R44" s="287"/>
      <c r="S44" s="279"/>
      <c r="T44" s="279"/>
      <c r="U44" s="279"/>
      <c r="V44" s="279"/>
      <c r="W44" s="279"/>
      <c r="X44" s="279"/>
      <c r="Y44" s="279"/>
      <c r="Z44" s="279"/>
      <c r="AA44" s="279"/>
      <c r="AB44" s="279"/>
      <c r="AC44" s="279"/>
      <c r="AD44" s="279"/>
      <c r="AE44" s="279"/>
      <c r="AF44" s="279"/>
      <c r="AG44" s="279"/>
      <c r="AH44" s="279"/>
      <c r="AI44" s="279"/>
      <c r="AJ44" s="279"/>
      <c r="AK44" s="279"/>
      <c r="AL44" s="279"/>
      <c r="AM44" s="279"/>
      <c r="AN44" s="279"/>
      <c r="AO44" s="279"/>
      <c r="AP44" s="279"/>
      <c r="AQ44" s="1"/>
      <c r="AR44" s="1"/>
      <c r="AS44" s="1"/>
      <c r="AT44" s="1"/>
      <c r="AU44" s="1"/>
      <c r="AV44" s="1"/>
      <c r="AW44" s="1"/>
      <c r="AX44" s="1"/>
      <c r="AY44" s="1"/>
      <c r="AZ44" s="1"/>
      <c r="BA44" s="1"/>
    </row>
    <row r="45" spans="1:53" x14ac:dyDescent="0.3">
      <c r="B45" s="279"/>
      <c r="C45" s="217">
        <f t="shared" si="6"/>
        <v>42</v>
      </c>
      <c r="D45" s="221">
        <v>1</v>
      </c>
      <c r="E45" s="219">
        <f t="shared" si="11"/>
        <v>3500</v>
      </c>
      <c r="F45" s="97">
        <f t="shared" si="12"/>
        <v>2.4500000000000002</v>
      </c>
      <c r="G45" s="109">
        <f t="shared" si="4"/>
        <v>8575</v>
      </c>
      <c r="H45" s="109">
        <f t="shared" si="8"/>
        <v>2963.7660674599742</v>
      </c>
      <c r="I45" s="109">
        <f t="shared" si="5"/>
        <v>5611.2339325400262</v>
      </c>
      <c r="J45" s="109">
        <f t="shared" si="10"/>
        <v>221.44233100231196</v>
      </c>
      <c r="K45" s="109">
        <f t="shared" si="7"/>
        <v>14618.929863330251</v>
      </c>
      <c r="L45" s="220">
        <f t="shared" si="9"/>
        <v>1217.567769788636</v>
      </c>
      <c r="M45" s="350"/>
      <c r="N45" s="279"/>
      <c r="O45" s="287">
        <v>1</v>
      </c>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1"/>
      <c r="AR45" s="1"/>
      <c r="AS45" s="1"/>
      <c r="AT45" s="1"/>
      <c r="AU45" s="1"/>
      <c r="AV45" s="1"/>
      <c r="AW45" s="1"/>
      <c r="AX45" s="1"/>
      <c r="AY45" s="1"/>
      <c r="AZ45" s="1"/>
      <c r="BA45" s="1"/>
    </row>
    <row r="46" spans="1:53" x14ac:dyDescent="0.3">
      <c r="B46" s="279"/>
      <c r="C46" s="217">
        <f t="shared" si="6"/>
        <v>43</v>
      </c>
      <c r="D46" s="221">
        <v>1</v>
      </c>
      <c r="E46" s="219">
        <f t="shared" si="11"/>
        <v>3500</v>
      </c>
      <c r="F46" s="97">
        <f t="shared" si="12"/>
        <v>2.4500000000000002</v>
      </c>
      <c r="G46" s="109">
        <f t="shared" si="4"/>
        <v>8575</v>
      </c>
      <c r="H46" s="109">
        <f t="shared" si="8"/>
        <v>2963.7660674599742</v>
      </c>
      <c r="I46" s="109">
        <f t="shared" si="5"/>
        <v>5611.2339325400262</v>
      </c>
      <c r="J46" s="109">
        <f t="shared" si="10"/>
        <v>205.03919537251107</v>
      </c>
      <c r="K46" s="109">
        <f t="shared" si="7"/>
        <v>14823.969058702762</v>
      </c>
      <c r="L46" s="220">
        <f t="shared" si="9"/>
        <v>1230.8985122484585</v>
      </c>
      <c r="M46" s="350"/>
      <c r="N46" s="279"/>
      <c r="O46" s="287">
        <v>1</v>
      </c>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1"/>
      <c r="AR46" s="1"/>
      <c r="AS46" s="1"/>
      <c r="AT46" s="1"/>
      <c r="AU46" s="1"/>
      <c r="AV46" s="1"/>
      <c r="AW46" s="1"/>
      <c r="AX46" s="1"/>
      <c r="AY46" s="1"/>
      <c r="AZ46" s="1"/>
      <c r="BA46" s="1"/>
    </row>
    <row r="47" spans="1:53" x14ac:dyDescent="0.3">
      <c r="B47" s="279"/>
      <c r="C47" s="217">
        <f t="shared" si="6"/>
        <v>44</v>
      </c>
      <c r="D47" s="221">
        <v>1</v>
      </c>
      <c r="E47" s="219">
        <f t="shared" si="11"/>
        <v>3500</v>
      </c>
      <c r="F47" s="97">
        <f t="shared" si="12"/>
        <v>2.4500000000000002</v>
      </c>
      <c r="G47" s="109">
        <f t="shared" si="4"/>
        <v>8575</v>
      </c>
      <c r="H47" s="109">
        <f t="shared" si="8"/>
        <v>2963.7660674599742</v>
      </c>
      <c r="I47" s="109">
        <f t="shared" si="5"/>
        <v>5611.2339325400262</v>
      </c>
      <c r="J47" s="109">
        <f t="shared" si="10"/>
        <v>189.8511068263991</v>
      </c>
      <c r="K47" s="109">
        <f t="shared" si="7"/>
        <v>15013.820165529161</v>
      </c>
      <c r="L47" s="220">
        <f t="shared" si="9"/>
        <v>1243.1698661293233</v>
      </c>
      <c r="M47" s="350"/>
      <c r="N47" s="279"/>
      <c r="O47" s="287">
        <v>1</v>
      </c>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1"/>
      <c r="AR47" s="1"/>
      <c r="AS47" s="1"/>
      <c r="AT47" s="1"/>
      <c r="AU47" s="1"/>
      <c r="AV47" s="1"/>
      <c r="AW47" s="1"/>
      <c r="AX47" s="1"/>
      <c r="AY47" s="1"/>
      <c r="AZ47" s="1"/>
      <c r="BA47" s="1"/>
    </row>
    <row r="48" spans="1:53" x14ac:dyDescent="0.3">
      <c r="B48" s="279"/>
      <c r="C48" s="217">
        <f t="shared" si="6"/>
        <v>45</v>
      </c>
      <c r="D48" s="221">
        <v>1</v>
      </c>
      <c r="E48" s="219">
        <f t="shared" si="11"/>
        <v>3500</v>
      </c>
      <c r="F48" s="97">
        <f t="shared" si="12"/>
        <v>2.4500000000000002</v>
      </c>
      <c r="G48" s="109">
        <f t="shared" si="4"/>
        <v>8575</v>
      </c>
      <c r="H48" s="109">
        <f t="shared" si="8"/>
        <v>2963.7660674599742</v>
      </c>
      <c r="I48" s="109">
        <f t="shared" si="5"/>
        <v>5611.2339325400262</v>
      </c>
      <c r="J48" s="109">
        <f t="shared" si="10"/>
        <v>175.78806187629547</v>
      </c>
      <c r="K48" s="109">
        <f t="shared" si="7"/>
        <v>15189.608227405457</v>
      </c>
      <c r="L48" s="220">
        <f t="shared" si="9"/>
        <v>1254.4710836796269</v>
      </c>
      <c r="M48" s="350"/>
      <c r="N48" s="279"/>
      <c r="O48" s="287">
        <v>1</v>
      </c>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1"/>
      <c r="AR48" s="1"/>
      <c r="AS48" s="1"/>
      <c r="AT48" s="1"/>
      <c r="AU48" s="1"/>
      <c r="AV48" s="1"/>
      <c r="AW48" s="1"/>
      <c r="AX48" s="1"/>
      <c r="AY48" s="1"/>
      <c r="AZ48" s="1"/>
      <c r="BA48" s="1"/>
    </row>
    <row r="49" spans="1:53" x14ac:dyDescent="0.3">
      <c r="B49" s="279"/>
      <c r="C49" s="217">
        <f t="shared" si="6"/>
        <v>46</v>
      </c>
      <c r="D49" s="223">
        <f>D48-0.023</f>
        <v>0.97699999999999998</v>
      </c>
      <c r="E49" s="219">
        <f t="shared" si="11"/>
        <v>3419.5</v>
      </c>
      <c r="F49" s="97">
        <f t="shared" si="12"/>
        <v>2.4500000000000002</v>
      </c>
      <c r="G49" s="109">
        <f t="shared" si="4"/>
        <v>8377.7750000000015</v>
      </c>
      <c r="H49" s="109">
        <f t="shared" si="8"/>
        <v>2854.9894287765301</v>
      </c>
      <c r="I49" s="109">
        <f t="shared" si="5"/>
        <v>5522.7855712234714</v>
      </c>
      <c r="J49" s="109">
        <f t="shared" si="10"/>
        <v>160.20107615654274</v>
      </c>
      <c r="K49" s="109">
        <f t="shared" si="7"/>
        <v>15349.809303562</v>
      </c>
      <c r="L49" s="220">
        <f t="shared" si="9"/>
        <v>1264.6717734227461</v>
      </c>
      <c r="M49" s="350"/>
      <c r="N49" s="279"/>
      <c r="O49" s="288">
        <v>0.96175207070175728</v>
      </c>
      <c r="P49" s="279"/>
      <c r="Q49" s="278"/>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1"/>
      <c r="AR49" s="1"/>
      <c r="AS49" s="1"/>
      <c r="AT49" s="1"/>
      <c r="AU49" s="1"/>
      <c r="AV49" s="1"/>
      <c r="AW49" s="1"/>
      <c r="AX49" s="1"/>
      <c r="AY49" s="1"/>
      <c r="AZ49" s="1"/>
      <c r="BA49" s="1"/>
    </row>
    <row r="50" spans="1:53" x14ac:dyDescent="0.3">
      <c r="B50" s="279"/>
      <c r="C50" s="217">
        <f t="shared" si="6"/>
        <v>47</v>
      </c>
      <c r="D50" s="223">
        <f>D49-0.023</f>
        <v>0.95399999999999996</v>
      </c>
      <c r="E50" s="219">
        <f t="shared" si="11"/>
        <v>3339</v>
      </c>
      <c r="F50" s="97">
        <f t="shared" si="12"/>
        <v>2.4500000000000002</v>
      </c>
      <c r="G50" s="109">
        <f t="shared" si="4"/>
        <v>8180.55</v>
      </c>
      <c r="H50" s="109">
        <f t="shared" si="8"/>
        <v>2847.0812624992168</v>
      </c>
      <c r="I50" s="109">
        <f t="shared" si="5"/>
        <v>5333.4687375007834</v>
      </c>
      <c r="J50" s="109">
        <f t="shared" si="10"/>
        <v>143.24954325097474</v>
      </c>
      <c r="K50" s="109">
        <f t="shared" si="7"/>
        <v>15493.058846812975</v>
      </c>
      <c r="L50" s="220">
        <f t="shared" si="9"/>
        <v>1273.6554687143423</v>
      </c>
      <c r="M50" s="350"/>
      <c r="N50" s="279"/>
      <c r="O50" s="288">
        <v>0.95897140944659875</v>
      </c>
      <c r="P50" s="279"/>
      <c r="Q50" s="278"/>
      <c r="R50" s="279"/>
      <c r="S50" s="279"/>
      <c r="T50" s="279"/>
      <c r="U50" s="279"/>
      <c r="V50" s="279"/>
      <c r="W50" s="279"/>
      <c r="X50" s="279"/>
      <c r="Y50" s="279"/>
      <c r="Z50" s="279"/>
      <c r="AA50" s="279"/>
      <c r="AB50" s="279"/>
      <c r="AC50" s="279"/>
      <c r="AD50" s="279"/>
      <c r="AE50" s="279"/>
      <c r="AF50" s="279"/>
      <c r="AG50" s="279"/>
      <c r="AH50" s="279"/>
      <c r="AI50" s="279"/>
      <c r="AJ50" s="279"/>
      <c r="AK50" s="279"/>
      <c r="AL50" s="279"/>
      <c r="AM50" s="279"/>
      <c r="AN50" s="279"/>
      <c r="AO50" s="279"/>
      <c r="AP50" s="279"/>
      <c r="AQ50" s="1"/>
      <c r="AR50" s="1"/>
      <c r="AS50" s="1"/>
      <c r="AT50" s="1"/>
      <c r="AU50" s="1"/>
      <c r="AV50" s="1"/>
      <c r="AW50" s="1"/>
      <c r="AX50" s="1"/>
      <c r="AY50" s="1"/>
      <c r="AZ50" s="1"/>
      <c r="BA50" s="1"/>
    </row>
    <row r="51" spans="1:53" x14ac:dyDescent="0.3">
      <c r="B51" s="279"/>
      <c r="C51" s="217">
        <f t="shared" si="6"/>
        <v>48</v>
      </c>
      <c r="D51" s="223">
        <f t="shared" ref="D51:D56" si="13">D50-0.023</f>
        <v>0.93099999999999994</v>
      </c>
      <c r="E51" s="219">
        <f t="shared" si="11"/>
        <v>3258.5</v>
      </c>
      <c r="F51" s="97">
        <f t="shared" si="12"/>
        <v>2.4500000000000002</v>
      </c>
      <c r="G51" s="109">
        <f t="shared" si="4"/>
        <v>7983.3250000000007</v>
      </c>
      <c r="H51" s="109">
        <f t="shared" si="8"/>
        <v>2790.9995687041574</v>
      </c>
      <c r="I51" s="109">
        <f t="shared" si="5"/>
        <v>5192.3254312958434</v>
      </c>
      <c r="J51" s="109">
        <f t="shared" si="10"/>
        <v>129.12836166037863</v>
      </c>
      <c r="K51" s="109">
        <f t="shared" si="7"/>
        <v>15622.187208473353</v>
      </c>
      <c r="L51" s="220">
        <f t="shared" si="9"/>
        <v>1281.6504346606057</v>
      </c>
      <c r="M51" s="350"/>
      <c r="N51" s="279"/>
      <c r="O51" s="288">
        <v>0.93925202222190773</v>
      </c>
      <c r="P51" s="279"/>
      <c r="Q51" s="278"/>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1"/>
      <c r="AR51" s="1"/>
      <c r="AS51" s="1"/>
      <c r="AT51" s="1"/>
      <c r="AU51" s="1"/>
      <c r="AV51" s="1"/>
      <c r="AW51" s="1"/>
      <c r="AX51" s="1"/>
      <c r="AY51" s="1"/>
      <c r="AZ51" s="1"/>
      <c r="BA51" s="1"/>
    </row>
    <row r="52" spans="1:53" x14ac:dyDescent="0.3">
      <c r="B52" s="279"/>
      <c r="C52" s="217">
        <f t="shared" si="6"/>
        <v>49</v>
      </c>
      <c r="D52" s="223">
        <f t="shared" si="13"/>
        <v>0.90799999999999992</v>
      </c>
      <c r="E52" s="219">
        <f t="shared" si="11"/>
        <v>3177.9999999999995</v>
      </c>
      <c r="F52" s="97">
        <f t="shared" si="12"/>
        <v>2.4500000000000002</v>
      </c>
      <c r="G52" s="109">
        <f>E52*F52</f>
        <v>7786.0999999999995</v>
      </c>
      <c r="H52" s="109">
        <f t="shared" si="8"/>
        <v>2734.9178749090947</v>
      </c>
      <c r="I52" s="109">
        <f>G52-H52</f>
        <v>5051.1821250909052</v>
      </c>
      <c r="J52" s="109">
        <f t="shared" si="10"/>
        <v>116.31320124780788</v>
      </c>
      <c r="K52" s="109">
        <f t="shared" si="7"/>
        <v>15738.50040972116</v>
      </c>
      <c r="L52" s="220">
        <f t="shared" si="9"/>
        <v>1288.7580113736497</v>
      </c>
      <c r="M52" s="350"/>
      <c r="N52" s="279"/>
      <c r="O52" s="288">
        <v>0.91953263499721571</v>
      </c>
      <c r="P52" s="279"/>
      <c r="Q52" s="278"/>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1"/>
      <c r="AR52" s="1"/>
      <c r="AS52" s="1"/>
      <c r="AT52" s="1"/>
      <c r="AU52" s="1"/>
      <c r="AV52" s="1"/>
      <c r="AW52" s="1"/>
      <c r="AX52" s="1"/>
      <c r="AY52" s="1"/>
      <c r="AZ52" s="1"/>
      <c r="BA52" s="1"/>
    </row>
    <row r="53" spans="1:53" x14ac:dyDescent="0.3">
      <c r="B53" s="279"/>
      <c r="C53" s="217">
        <f t="shared" si="6"/>
        <v>50</v>
      </c>
      <c r="D53" s="223">
        <f t="shared" si="13"/>
        <v>0.8849999999999999</v>
      </c>
      <c r="E53" s="219">
        <f t="shared" si="11"/>
        <v>3097.4999999999995</v>
      </c>
      <c r="F53" s="97">
        <f t="shared" si="12"/>
        <v>2.4500000000000002</v>
      </c>
      <c r="G53" s="109">
        <f>E53*F53</f>
        <v>7588.8749999999991</v>
      </c>
      <c r="H53" s="109">
        <f t="shared" si="8"/>
        <v>2678.8361811140317</v>
      </c>
      <c r="I53" s="109">
        <f>G53-H53</f>
        <v>4910.038818885967</v>
      </c>
      <c r="J53" s="109">
        <f t="shared" si="10"/>
        <v>104.68805987215912</v>
      </c>
      <c r="K53" s="109">
        <f t="shared" si="7"/>
        <v>15843.18846959332</v>
      </c>
      <c r="L53" s="220">
        <f t="shared" si="9"/>
        <v>1295.0692507558717</v>
      </c>
      <c r="M53" s="350"/>
      <c r="N53" s="279"/>
      <c r="O53" s="288">
        <v>0.89981324777252347</v>
      </c>
      <c r="P53" s="279"/>
      <c r="Q53" s="278"/>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1"/>
      <c r="AR53" s="1"/>
      <c r="AS53" s="1"/>
      <c r="AT53" s="1"/>
      <c r="AU53" s="1"/>
      <c r="AV53" s="1"/>
      <c r="AW53" s="1"/>
      <c r="AX53" s="1"/>
      <c r="AY53" s="1"/>
      <c r="AZ53" s="1"/>
      <c r="BA53" s="1"/>
    </row>
    <row r="54" spans="1:53" s="102" customFormat="1" ht="16.2" thickBot="1" x14ac:dyDescent="0.35">
      <c r="A54" s="278"/>
      <c r="B54" s="279"/>
      <c r="C54" s="224">
        <f t="shared" si="6"/>
        <v>51</v>
      </c>
      <c r="D54" s="225">
        <f t="shared" si="13"/>
        <v>0.86199999999999988</v>
      </c>
      <c r="E54" s="226">
        <f t="shared" si="11"/>
        <v>3016.9999999999995</v>
      </c>
      <c r="F54" s="227">
        <f t="shared" si="12"/>
        <v>2.4500000000000002</v>
      </c>
      <c r="G54" s="228">
        <f>E54*F54</f>
        <v>7391.65</v>
      </c>
      <c r="H54" s="228">
        <f t="shared" si="8"/>
        <v>2620.1184318931978</v>
      </c>
      <c r="I54" s="228">
        <f>G54-H54</f>
        <v>4771.5315681068023</v>
      </c>
      <c r="J54" s="228">
        <f t="shared" si="10"/>
        <v>94.198995483101967</v>
      </c>
      <c r="K54" s="228">
        <f t="shared" si="7"/>
        <v>15937.387465076423</v>
      </c>
      <c r="L54" s="229">
        <f t="shared" si="9"/>
        <v>1300.6702503362967</v>
      </c>
      <c r="M54" s="350"/>
      <c r="N54" s="279"/>
      <c r="O54" s="288">
        <v>0.8791669734627785</v>
      </c>
      <c r="P54" s="279"/>
      <c r="Q54" s="278"/>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79"/>
      <c r="AP54" s="279"/>
      <c r="AQ54" s="103"/>
      <c r="AR54" s="103"/>
      <c r="AS54" s="103"/>
      <c r="AT54" s="103"/>
      <c r="AU54" s="103"/>
      <c r="AV54" s="103"/>
      <c r="AW54" s="103"/>
      <c r="AX54" s="103"/>
      <c r="AY54" s="103"/>
      <c r="AZ54" s="103"/>
      <c r="BA54" s="103"/>
    </row>
    <row r="55" spans="1:53" s="102" customFormat="1" hidden="1" x14ac:dyDescent="0.3">
      <c r="A55" s="278"/>
      <c r="B55" s="279"/>
      <c r="C55" s="151">
        <f t="shared" si="6"/>
        <v>52</v>
      </c>
      <c r="D55" s="177">
        <f t="shared" si="13"/>
        <v>0.83899999999999986</v>
      </c>
      <c r="E55" s="98">
        <f t="shared" si="11"/>
        <v>2936.4999999999995</v>
      </c>
      <c r="F55" s="107">
        <f t="shared" si="12"/>
        <v>2.4500000000000002</v>
      </c>
      <c r="G55" s="108">
        <f>E55*F55</f>
        <v>7194.4249999999993</v>
      </c>
      <c r="H55" s="108">
        <f>$U$6*O55</f>
        <v>2393.4487408626183</v>
      </c>
      <c r="I55" s="108">
        <f>G55-H55</f>
        <v>4800.976259137381</v>
      </c>
      <c r="J55" s="108">
        <f t="shared" si="10"/>
        <v>87.759526842377468</v>
      </c>
      <c r="K55" s="108">
        <f>J55+K54</f>
        <v>16025.1469919188</v>
      </c>
      <c r="L55" s="109">
        <f t="shared" si="9"/>
        <v>1305.8841532110612</v>
      </c>
      <c r="M55" s="279"/>
      <c r="N55" s="279"/>
      <c r="O55" s="288">
        <v>0.84158197318350003</v>
      </c>
      <c r="P55" s="279"/>
      <c r="Q55" s="278"/>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103"/>
      <c r="AR55" s="103"/>
      <c r="AS55" s="103"/>
      <c r="AT55" s="103"/>
      <c r="AU55" s="103"/>
      <c r="AV55" s="103"/>
      <c r="AW55" s="103"/>
      <c r="AX55" s="103"/>
      <c r="AY55" s="103"/>
      <c r="AZ55" s="103"/>
      <c r="BA55" s="103"/>
    </row>
    <row r="56" spans="1:53" s="102" customFormat="1" hidden="1" x14ac:dyDescent="0.3">
      <c r="A56" s="278"/>
      <c r="B56" s="279"/>
      <c r="C56" s="151">
        <f t="shared" si="6"/>
        <v>53</v>
      </c>
      <c r="D56" s="177">
        <f t="shared" si="13"/>
        <v>0.81599999999999984</v>
      </c>
      <c r="E56" s="98">
        <f t="shared" si="11"/>
        <v>2855.9999999999995</v>
      </c>
      <c r="F56" s="107">
        <f t="shared" si="12"/>
        <v>2.4500000000000002</v>
      </c>
      <c r="G56" s="108">
        <f>E56*F56</f>
        <v>6997.2</v>
      </c>
      <c r="H56" s="108">
        <f>$U$6*O56</f>
        <v>2286.5574641240346</v>
      </c>
      <c r="I56" s="108">
        <f>G56-H56</f>
        <v>4710.6425358759652</v>
      </c>
      <c r="J56" s="108">
        <f t="shared" si="10"/>
        <v>79.729879646343107</v>
      </c>
      <c r="K56" s="108">
        <f>J56+K55</f>
        <v>16104.876871565144</v>
      </c>
      <c r="L56" s="109">
        <f t="shared" si="9"/>
        <v>1310.5735890581263</v>
      </c>
      <c r="M56" s="279"/>
      <c r="N56" s="279"/>
      <c r="O56" s="288">
        <v>0.80399697290422134</v>
      </c>
      <c r="P56" s="279"/>
      <c r="Q56" s="278"/>
      <c r="R56" s="279"/>
      <c r="S56" s="279"/>
      <c r="T56" s="279"/>
      <c r="U56" s="279"/>
      <c r="V56" s="279"/>
      <c r="W56" s="279"/>
      <c r="X56" s="279"/>
      <c r="Y56" s="279"/>
      <c r="Z56" s="279"/>
      <c r="AA56" s="279"/>
      <c r="AB56" s="279"/>
      <c r="AC56" s="279"/>
      <c r="AD56" s="279"/>
      <c r="AE56" s="279"/>
      <c r="AF56" s="279"/>
      <c r="AG56" s="279"/>
      <c r="AH56" s="279"/>
      <c r="AI56" s="279"/>
      <c r="AJ56" s="279"/>
      <c r="AK56" s="279"/>
      <c r="AL56" s="279"/>
      <c r="AM56" s="279"/>
      <c r="AN56" s="279"/>
      <c r="AO56" s="279"/>
      <c r="AP56" s="279"/>
      <c r="AQ56" s="103"/>
      <c r="AR56" s="103"/>
      <c r="AS56" s="103"/>
      <c r="AT56" s="103"/>
      <c r="AU56" s="103"/>
      <c r="AV56" s="103"/>
      <c r="AW56" s="103"/>
      <c r="AX56" s="103"/>
      <c r="AY56" s="103"/>
      <c r="AZ56" s="103"/>
      <c r="BA56" s="103"/>
    </row>
    <row r="57" spans="1:53" s="278" customFormat="1" x14ac:dyDescent="0.3">
      <c r="B57" s="279"/>
      <c r="C57" s="279"/>
      <c r="D57" s="279"/>
      <c r="E57" s="279"/>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c r="AJ57" s="279"/>
      <c r="AK57" s="279"/>
      <c r="AL57" s="279"/>
      <c r="AM57" s="279"/>
      <c r="AN57" s="279"/>
      <c r="AO57" s="279"/>
      <c r="AP57" s="279"/>
      <c r="AQ57" s="279"/>
      <c r="AR57" s="279"/>
      <c r="AS57" s="279"/>
      <c r="AT57" s="279"/>
      <c r="AU57" s="279"/>
      <c r="AV57" s="279"/>
      <c r="AW57" s="279"/>
      <c r="AX57" s="279"/>
      <c r="AY57" s="279"/>
      <c r="AZ57" s="279"/>
      <c r="BA57" s="279"/>
    </row>
    <row r="58" spans="1:53" s="278" customFormat="1" x14ac:dyDescent="0.3">
      <c r="B58" s="279"/>
      <c r="C58" s="279"/>
      <c r="D58" s="279"/>
      <c r="E58" s="279"/>
      <c r="F58" s="279"/>
      <c r="G58" s="279"/>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AH58" s="279"/>
      <c r="AI58" s="279"/>
      <c r="AJ58" s="279"/>
      <c r="AK58" s="279"/>
      <c r="AL58" s="279"/>
      <c r="AM58" s="279"/>
      <c r="AN58" s="279"/>
      <c r="AO58" s="279"/>
      <c r="AP58" s="279"/>
      <c r="AQ58" s="279"/>
      <c r="AR58" s="279"/>
      <c r="AS58" s="279"/>
      <c r="AT58" s="279"/>
      <c r="AU58" s="279"/>
      <c r="AV58" s="279"/>
      <c r="AW58" s="279"/>
      <c r="AX58" s="279"/>
      <c r="AY58" s="279"/>
      <c r="AZ58" s="279"/>
      <c r="BA58" s="279"/>
    </row>
    <row r="59" spans="1:53" s="278" customFormat="1" x14ac:dyDescent="0.3">
      <c r="B59" s="279"/>
      <c r="C59" s="279"/>
      <c r="D59" s="279"/>
      <c r="E59" s="279"/>
      <c r="F59" s="279"/>
      <c r="G59" s="279"/>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279"/>
      <c r="AH59" s="279"/>
      <c r="AI59" s="279"/>
      <c r="AJ59" s="279"/>
      <c r="AK59" s="279"/>
      <c r="AL59" s="279"/>
      <c r="AM59" s="279"/>
      <c r="AN59" s="279"/>
      <c r="AO59" s="279"/>
      <c r="AP59" s="279"/>
      <c r="AQ59" s="279"/>
      <c r="AR59" s="279"/>
      <c r="AS59" s="279"/>
      <c r="AT59" s="279"/>
      <c r="AU59" s="279"/>
      <c r="AV59" s="279"/>
      <c r="AW59" s="279"/>
      <c r="AX59" s="279"/>
      <c r="AY59" s="279"/>
      <c r="AZ59" s="279"/>
      <c r="BA59" s="279"/>
    </row>
    <row r="60" spans="1:53" s="278" customFormat="1" x14ac:dyDescent="0.3">
      <c r="B60" s="279"/>
      <c r="C60" s="279"/>
      <c r="D60" s="279"/>
      <c r="E60" s="279"/>
      <c r="F60" s="279"/>
      <c r="G60" s="279"/>
      <c r="H60" s="279"/>
      <c r="I60" s="542"/>
      <c r="J60" s="542"/>
      <c r="K60" s="280"/>
      <c r="L60" s="280"/>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279"/>
      <c r="AL60" s="279"/>
      <c r="AM60" s="279"/>
      <c r="AN60" s="279"/>
      <c r="AO60" s="279"/>
      <c r="AP60" s="279"/>
      <c r="AQ60" s="279"/>
      <c r="AR60" s="279"/>
      <c r="AS60" s="279"/>
      <c r="AT60" s="279"/>
      <c r="AU60" s="279"/>
      <c r="AV60" s="279"/>
      <c r="AW60" s="279"/>
      <c r="AX60" s="279"/>
      <c r="AY60" s="279"/>
      <c r="AZ60" s="279"/>
      <c r="BA60" s="279"/>
    </row>
    <row r="61" spans="1:53" s="278" customFormat="1" x14ac:dyDescent="0.3">
      <c r="B61" s="279"/>
      <c r="C61" s="279"/>
      <c r="D61" s="279"/>
      <c r="E61" s="279"/>
      <c r="F61" s="279"/>
      <c r="G61" s="279"/>
      <c r="H61" s="279"/>
      <c r="I61" s="279"/>
      <c r="J61" s="279"/>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279"/>
      <c r="AH61" s="279"/>
      <c r="AI61" s="279"/>
      <c r="AJ61" s="279"/>
      <c r="AK61" s="279"/>
      <c r="AL61" s="279"/>
      <c r="AM61" s="279"/>
      <c r="AN61" s="279"/>
      <c r="AO61" s="279"/>
      <c r="AP61" s="279"/>
      <c r="AQ61" s="279"/>
      <c r="AR61" s="279"/>
      <c r="AS61" s="279"/>
      <c r="AT61" s="279"/>
      <c r="AU61" s="279"/>
      <c r="AV61" s="279"/>
      <c r="AW61" s="279"/>
      <c r="AX61" s="279"/>
      <c r="AY61" s="279"/>
      <c r="AZ61" s="279"/>
      <c r="BA61" s="279"/>
    </row>
    <row r="62" spans="1:53" s="278" customFormat="1" x14ac:dyDescent="0.3">
      <c r="B62" s="279"/>
      <c r="C62" s="279"/>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279"/>
      <c r="AN62" s="279"/>
      <c r="AO62" s="279"/>
      <c r="AP62" s="279"/>
      <c r="AQ62" s="279"/>
      <c r="AR62" s="279"/>
      <c r="AS62" s="279"/>
      <c r="AT62" s="279"/>
      <c r="AU62" s="279"/>
      <c r="AV62" s="279"/>
      <c r="AW62" s="279"/>
      <c r="AX62" s="279"/>
      <c r="AY62" s="279"/>
      <c r="AZ62" s="279"/>
      <c r="BA62" s="279"/>
    </row>
    <row r="63" spans="1:53" s="278" customFormat="1" x14ac:dyDescent="0.3">
      <c r="B63" s="279"/>
      <c r="C63" s="279"/>
      <c r="D63" s="279"/>
      <c r="E63" s="279"/>
      <c r="F63" s="279"/>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79"/>
      <c r="AO63" s="279"/>
      <c r="AP63" s="279"/>
      <c r="AQ63" s="279"/>
      <c r="AR63" s="279"/>
      <c r="AS63" s="279"/>
      <c r="AT63" s="279"/>
      <c r="AU63" s="279"/>
      <c r="AV63" s="279"/>
      <c r="AW63" s="279"/>
      <c r="AX63" s="279"/>
      <c r="AY63" s="279"/>
      <c r="AZ63" s="279"/>
      <c r="BA63" s="279"/>
    </row>
    <row r="64" spans="1:53" s="278" customFormat="1" x14ac:dyDescent="0.3">
      <c r="B64" s="279"/>
      <c r="C64" s="279"/>
      <c r="D64" s="279"/>
      <c r="E64" s="279"/>
      <c r="F64" s="279"/>
      <c r="G64" s="279"/>
      <c r="H64" s="279"/>
      <c r="I64" s="279"/>
      <c r="J64" s="279"/>
      <c r="K64" s="279"/>
      <c r="L64" s="279"/>
      <c r="M64" s="279"/>
      <c r="N64" s="279"/>
      <c r="O64" s="279"/>
      <c r="P64" s="279"/>
      <c r="Q64" s="279"/>
      <c r="R64" s="279"/>
      <c r="S64" s="279"/>
      <c r="T64" s="279"/>
      <c r="U64" s="279"/>
      <c r="V64" s="279"/>
      <c r="W64" s="279"/>
      <c r="X64" s="279"/>
      <c r="Y64" s="279"/>
      <c r="Z64" s="279"/>
      <c r="AA64" s="279"/>
      <c r="AB64" s="279"/>
      <c r="AC64" s="279"/>
      <c r="AD64" s="279"/>
      <c r="AE64" s="279"/>
      <c r="AF64" s="279"/>
      <c r="AG64" s="279"/>
      <c r="AH64" s="279"/>
      <c r="AI64" s="279"/>
      <c r="AJ64" s="279"/>
      <c r="AK64" s="279"/>
      <c r="AL64" s="279"/>
      <c r="AM64" s="279"/>
      <c r="AN64" s="279"/>
      <c r="AO64" s="279"/>
      <c r="AP64" s="279"/>
      <c r="AQ64" s="279"/>
      <c r="AR64" s="279"/>
      <c r="AS64" s="279"/>
      <c r="AT64" s="279"/>
      <c r="AU64" s="279"/>
      <c r="AV64" s="279"/>
      <c r="AW64" s="279"/>
      <c r="AX64" s="279"/>
      <c r="AY64" s="279"/>
      <c r="AZ64" s="279"/>
      <c r="BA64" s="279"/>
    </row>
    <row r="65" spans="2:53" s="278" customFormat="1" x14ac:dyDescent="0.3">
      <c r="B65" s="279"/>
      <c r="C65" s="279"/>
      <c r="D65" s="279"/>
      <c r="E65" s="279"/>
      <c r="F65" s="279"/>
      <c r="G65" s="279"/>
      <c r="H65" s="279"/>
      <c r="I65" s="279"/>
      <c r="J65" s="279"/>
      <c r="K65" s="279"/>
      <c r="L65" s="279"/>
      <c r="M65" s="279"/>
      <c r="N65" s="279"/>
      <c r="O65" s="279"/>
      <c r="P65" s="279"/>
      <c r="Q65" s="279"/>
      <c r="R65" s="279"/>
      <c r="S65" s="279"/>
      <c r="T65" s="279"/>
      <c r="U65" s="279"/>
      <c r="V65" s="279"/>
      <c r="W65" s="279"/>
      <c r="X65" s="279"/>
      <c r="Y65" s="279"/>
      <c r="Z65" s="279"/>
      <c r="AA65" s="279"/>
      <c r="AB65" s="279"/>
      <c r="AC65" s="279"/>
      <c r="AD65" s="279"/>
      <c r="AE65" s="279"/>
      <c r="AF65" s="279"/>
      <c r="AG65" s="279"/>
      <c r="AH65" s="279"/>
      <c r="AI65" s="279"/>
      <c r="AJ65" s="279"/>
      <c r="AK65" s="279"/>
      <c r="AL65" s="279"/>
      <c r="AM65" s="279"/>
      <c r="AN65" s="279"/>
      <c r="AO65" s="279"/>
      <c r="AP65" s="279"/>
      <c r="AQ65" s="279"/>
      <c r="AR65" s="279"/>
      <c r="AS65" s="279"/>
      <c r="AT65" s="279"/>
      <c r="AU65" s="279"/>
      <c r="AV65" s="279"/>
      <c r="AW65" s="279"/>
      <c r="AX65" s="279"/>
      <c r="AY65" s="279"/>
      <c r="AZ65" s="279"/>
      <c r="BA65" s="279"/>
    </row>
    <row r="66" spans="2:53" s="278" customFormat="1" x14ac:dyDescent="0.3">
      <c r="B66" s="279"/>
      <c r="C66" s="279"/>
      <c r="D66" s="279"/>
      <c r="E66" s="279"/>
      <c r="F66" s="279"/>
      <c r="G66" s="279"/>
      <c r="H66" s="279"/>
      <c r="I66" s="279"/>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279"/>
      <c r="AH66" s="279"/>
      <c r="AI66" s="279"/>
      <c r="AJ66" s="279"/>
      <c r="AK66" s="279"/>
      <c r="AL66" s="279"/>
      <c r="AM66" s="279"/>
      <c r="AN66" s="279"/>
      <c r="AO66" s="279"/>
      <c r="AP66" s="279"/>
      <c r="AQ66" s="279"/>
      <c r="AR66" s="279"/>
      <c r="AS66" s="279"/>
      <c r="AT66" s="279"/>
      <c r="AU66" s="279"/>
      <c r="AV66" s="279"/>
      <c r="AW66" s="279"/>
      <c r="AX66" s="279"/>
      <c r="AY66" s="279"/>
      <c r="AZ66" s="279"/>
      <c r="BA66" s="279"/>
    </row>
    <row r="67" spans="2:53" s="278" customFormat="1" x14ac:dyDescent="0.3">
      <c r="B67" s="279"/>
      <c r="C67" s="279"/>
      <c r="D67" s="279"/>
      <c r="E67" s="279"/>
      <c r="F67" s="279"/>
      <c r="G67" s="279"/>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79"/>
      <c r="AY67" s="279"/>
      <c r="AZ67" s="279"/>
      <c r="BA67" s="279"/>
    </row>
    <row r="68" spans="2:53" s="278" customFormat="1" x14ac:dyDescent="0.3">
      <c r="B68" s="279"/>
      <c r="C68" s="279"/>
      <c r="D68" s="279"/>
      <c r="E68" s="279"/>
      <c r="F68" s="279"/>
      <c r="G68" s="279"/>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279"/>
      <c r="AL68" s="279"/>
      <c r="AM68" s="279"/>
      <c r="AN68" s="279"/>
      <c r="AO68" s="279"/>
      <c r="AP68" s="279"/>
      <c r="AQ68" s="279"/>
      <c r="AR68" s="279"/>
      <c r="AS68" s="279"/>
      <c r="AT68" s="279"/>
      <c r="AU68" s="279"/>
      <c r="AV68" s="279"/>
      <c r="AW68" s="279"/>
      <c r="AX68" s="279"/>
      <c r="AY68" s="279"/>
      <c r="AZ68" s="279"/>
      <c r="BA68" s="279"/>
    </row>
    <row r="69" spans="2:53" s="278" customFormat="1" x14ac:dyDescent="0.3">
      <c r="B69" s="279"/>
      <c r="C69" s="279"/>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9"/>
      <c r="AU69" s="279"/>
      <c r="AV69" s="279"/>
      <c r="AW69" s="279"/>
      <c r="AX69" s="279"/>
      <c r="AY69" s="279"/>
      <c r="AZ69" s="279"/>
      <c r="BA69" s="279"/>
    </row>
    <row r="70" spans="2:53" s="278" customFormat="1" x14ac:dyDescent="0.3">
      <c r="B70" s="279"/>
      <c r="C70" s="279"/>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79"/>
      <c r="AN70" s="279"/>
      <c r="AO70" s="279"/>
      <c r="AP70" s="279"/>
      <c r="AQ70" s="279"/>
      <c r="AR70" s="279"/>
      <c r="AS70" s="279"/>
      <c r="AT70" s="279"/>
      <c r="AU70" s="279"/>
      <c r="AV70" s="279"/>
      <c r="AW70" s="279"/>
      <c r="AX70" s="279"/>
      <c r="AY70" s="279"/>
      <c r="AZ70" s="279"/>
      <c r="BA70" s="279"/>
    </row>
    <row r="71" spans="2:53" s="278" customFormat="1" x14ac:dyDescent="0.3">
      <c r="B71" s="279"/>
      <c r="C71" s="279"/>
      <c r="D71" s="279"/>
      <c r="E71" s="279"/>
      <c r="F71" s="279"/>
      <c r="G71" s="279"/>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AH71" s="279"/>
      <c r="AI71" s="279"/>
      <c r="AJ71" s="279"/>
      <c r="AK71" s="279"/>
      <c r="AL71" s="279"/>
      <c r="AM71" s="279"/>
      <c r="AN71" s="279"/>
      <c r="AO71" s="279"/>
      <c r="AP71" s="279"/>
      <c r="AQ71" s="279"/>
      <c r="AR71" s="279"/>
      <c r="AS71" s="279"/>
      <c r="AT71" s="279"/>
      <c r="AU71" s="279"/>
      <c r="AV71" s="279"/>
      <c r="AW71" s="279"/>
      <c r="AX71" s="279"/>
      <c r="AY71" s="279"/>
      <c r="AZ71" s="279"/>
      <c r="BA71" s="279"/>
    </row>
    <row r="72" spans="2:53" x14ac:dyDescent="0.3">
      <c r="B72" s="279"/>
      <c r="C72" s="1"/>
      <c r="D72" s="1"/>
      <c r="E72" s="1"/>
      <c r="F72" s="1"/>
      <c r="G72" s="1"/>
      <c r="H72" s="1"/>
      <c r="I72" s="1"/>
      <c r="J72" s="1"/>
      <c r="K72" s="1"/>
      <c r="L72" s="1"/>
      <c r="M72" s="279"/>
      <c r="N72" s="279"/>
      <c r="O72" s="279"/>
      <c r="P72" s="279"/>
      <c r="Q72" s="1"/>
      <c r="R72" s="1"/>
      <c r="S72" s="1"/>
      <c r="T72" s="1"/>
      <c r="U72" s="1"/>
      <c r="V72" s="1"/>
      <c r="W72" s="1"/>
      <c r="X72" s="1"/>
      <c r="Y72" s="279"/>
      <c r="Z72" s="279"/>
      <c r="AA72" s="279"/>
      <c r="AB72" s="279"/>
      <c r="AC72" s="279"/>
      <c r="AD72" s="279"/>
      <c r="AE72" s="279"/>
      <c r="AF72" s="279"/>
      <c r="AG72" s="279"/>
      <c r="AH72" s="279"/>
      <c r="AI72" s="1"/>
      <c r="AJ72" s="1"/>
      <c r="AK72" s="1"/>
      <c r="AL72" s="1"/>
      <c r="AM72" s="1"/>
      <c r="AN72" s="1"/>
      <c r="AO72" s="1"/>
      <c r="AP72" s="1"/>
      <c r="AQ72" s="1"/>
      <c r="AR72" s="1"/>
      <c r="AS72" s="1"/>
      <c r="AT72" s="1"/>
      <c r="AU72" s="1"/>
      <c r="AV72" s="1"/>
      <c r="AW72" s="1"/>
      <c r="AX72" s="1"/>
      <c r="AY72" s="1"/>
      <c r="AZ72" s="1"/>
      <c r="BA72" s="1"/>
    </row>
    <row r="73" spans="2:53" x14ac:dyDescent="0.3">
      <c r="B73" s="279"/>
      <c r="C73" s="1"/>
      <c r="D73" s="1"/>
      <c r="E73" s="1"/>
      <c r="F73" s="1"/>
      <c r="G73" s="1"/>
      <c r="H73" s="1"/>
      <c r="I73" s="1"/>
      <c r="J73" s="1"/>
      <c r="K73" s="1"/>
      <c r="L73" s="1"/>
      <c r="M73" s="279"/>
      <c r="N73" s="279"/>
      <c r="O73" s="279"/>
      <c r="P73" s="279"/>
      <c r="Q73" s="1"/>
      <c r="R73" s="1"/>
      <c r="S73" s="1"/>
      <c r="T73" s="1"/>
      <c r="U73" s="1"/>
      <c r="V73" s="1"/>
      <c r="W73" s="1"/>
      <c r="X73" s="1"/>
      <c r="Y73" s="279"/>
      <c r="Z73" s="279"/>
      <c r="AA73" s="279"/>
      <c r="AB73" s="279"/>
      <c r="AC73" s="279"/>
      <c r="AD73" s="279"/>
      <c r="AE73" s="279"/>
      <c r="AF73" s="279"/>
      <c r="AG73" s="279"/>
      <c r="AH73" s="279"/>
      <c r="AI73" s="1"/>
      <c r="AJ73" s="1"/>
      <c r="AK73" s="1"/>
      <c r="AL73" s="1"/>
      <c r="AM73" s="1"/>
      <c r="AN73" s="1"/>
      <c r="AO73" s="1"/>
      <c r="AP73" s="1"/>
      <c r="AQ73" s="1"/>
      <c r="AR73" s="1"/>
      <c r="AS73" s="1"/>
      <c r="AT73" s="1"/>
      <c r="AU73" s="1"/>
      <c r="AV73" s="1"/>
      <c r="AW73" s="1"/>
      <c r="AX73" s="1"/>
      <c r="AY73" s="1"/>
      <c r="AZ73" s="1"/>
      <c r="BA73" s="1"/>
    </row>
    <row r="74" spans="2:53" x14ac:dyDescent="0.3">
      <c r="B74" s="279"/>
      <c r="C74" s="1"/>
      <c r="D74" s="1"/>
      <c r="E74" s="1"/>
      <c r="F74" s="1"/>
      <c r="G74" s="1"/>
      <c r="H74" s="1"/>
      <c r="I74" s="1"/>
      <c r="J74" s="1"/>
      <c r="K74" s="1"/>
      <c r="L74" s="1"/>
      <c r="M74" s="279"/>
      <c r="N74" s="279"/>
      <c r="O74" s="279"/>
      <c r="P74" s="279"/>
      <c r="Q74" s="1"/>
      <c r="R74" s="1"/>
      <c r="S74" s="1"/>
      <c r="T74" s="1"/>
      <c r="U74" s="1"/>
      <c r="V74" s="1"/>
      <c r="W74" s="1"/>
      <c r="X74" s="1"/>
      <c r="Y74" s="279"/>
      <c r="Z74" s="279"/>
      <c r="AA74" s="279"/>
      <c r="AB74" s="279"/>
      <c r="AC74" s="279"/>
      <c r="AD74" s="279"/>
      <c r="AE74" s="279"/>
      <c r="AF74" s="279"/>
      <c r="AG74" s="279"/>
      <c r="AH74" s="279"/>
      <c r="AI74" s="1"/>
      <c r="AJ74" s="1"/>
      <c r="AK74" s="1"/>
      <c r="AL74" s="1"/>
      <c r="AM74" s="1"/>
      <c r="AN74" s="1"/>
      <c r="AO74" s="1"/>
      <c r="AP74" s="1"/>
      <c r="AQ74" s="1"/>
      <c r="AR74" s="1"/>
      <c r="AS74" s="1"/>
      <c r="AT74" s="1"/>
      <c r="AU74" s="1"/>
      <c r="AV74" s="1"/>
      <c r="AW74" s="1"/>
      <c r="AX74" s="1"/>
      <c r="AY74" s="1"/>
      <c r="AZ74" s="1"/>
      <c r="BA74" s="1"/>
    </row>
    <row r="75" spans="2:53" x14ac:dyDescent="0.3">
      <c r="B75" s="279"/>
      <c r="C75" s="1"/>
      <c r="D75" s="1"/>
      <c r="E75" s="1"/>
      <c r="F75" s="1"/>
      <c r="G75" s="1"/>
      <c r="H75" s="1"/>
      <c r="I75" s="1"/>
      <c r="J75" s="1"/>
      <c r="K75" s="1"/>
      <c r="L75" s="1"/>
      <c r="M75" s="279"/>
      <c r="N75" s="279"/>
      <c r="O75" s="279"/>
      <c r="P75" s="279"/>
      <c r="Q75" s="1"/>
      <c r="R75" s="1"/>
      <c r="S75" s="1"/>
      <c r="T75" s="1"/>
      <c r="U75" s="1"/>
      <c r="V75" s="1"/>
      <c r="W75" s="1"/>
      <c r="X75" s="1"/>
      <c r="Y75" s="279"/>
      <c r="Z75" s="279"/>
      <c r="AA75" s="279"/>
      <c r="AB75" s="279"/>
      <c r="AC75" s="279"/>
      <c r="AD75" s="279"/>
      <c r="AE75" s="279"/>
      <c r="AF75" s="279"/>
      <c r="AG75" s="279"/>
      <c r="AH75" s="279"/>
      <c r="AI75" s="1"/>
      <c r="AJ75" s="1"/>
      <c r="AK75" s="1"/>
      <c r="AL75" s="1"/>
      <c r="AM75" s="1"/>
      <c r="AN75" s="1"/>
      <c r="AO75" s="1"/>
      <c r="AP75" s="1"/>
      <c r="AQ75" s="1"/>
      <c r="AR75" s="1"/>
      <c r="AS75" s="1"/>
      <c r="AT75" s="1"/>
      <c r="AU75" s="1"/>
      <c r="AV75" s="1"/>
      <c r="AW75" s="1"/>
      <c r="AX75" s="1"/>
      <c r="AY75" s="1"/>
      <c r="AZ75" s="1"/>
      <c r="BA75" s="1"/>
    </row>
    <row r="76" spans="2:53" x14ac:dyDescent="0.3">
      <c r="B76" s="279"/>
      <c r="C76" s="1"/>
      <c r="D76" s="1"/>
      <c r="E76" s="1"/>
      <c r="F76" s="1"/>
      <c r="G76" s="1"/>
      <c r="H76" s="1"/>
      <c r="I76" s="1"/>
      <c r="J76" s="1"/>
      <c r="K76" s="1"/>
      <c r="L76" s="1"/>
      <c r="M76" s="279"/>
      <c r="N76" s="279"/>
      <c r="O76" s="279"/>
      <c r="P76" s="279"/>
      <c r="Q76" s="1"/>
      <c r="R76" s="1"/>
      <c r="S76" s="1"/>
      <c r="T76" s="1"/>
      <c r="U76" s="1"/>
      <c r="V76" s="1"/>
      <c r="W76" s="1"/>
      <c r="X76" s="1"/>
      <c r="Y76" s="279"/>
      <c r="Z76" s="279"/>
      <c r="AA76" s="279"/>
      <c r="AB76" s="279"/>
      <c r="AC76" s="279"/>
      <c r="AD76" s="279"/>
      <c r="AE76" s="279"/>
      <c r="AF76" s="279"/>
      <c r="AG76" s="279"/>
      <c r="AH76" s="279"/>
      <c r="AI76" s="1"/>
      <c r="AJ76" s="1"/>
      <c r="AK76" s="1"/>
      <c r="AL76" s="1"/>
      <c r="AM76" s="1"/>
      <c r="AN76" s="1"/>
      <c r="AO76" s="1"/>
      <c r="AP76" s="1"/>
      <c r="AQ76" s="1"/>
      <c r="AR76" s="1"/>
      <c r="AS76" s="1"/>
      <c r="AT76" s="1"/>
      <c r="AU76" s="1"/>
      <c r="AV76" s="1"/>
      <c r="AW76" s="1"/>
      <c r="AX76" s="1"/>
      <c r="AY76" s="1"/>
      <c r="AZ76" s="1"/>
      <c r="BA76" s="1"/>
    </row>
    <row r="77" spans="2:53" x14ac:dyDescent="0.3">
      <c r="B77" s="279"/>
      <c r="C77" s="1"/>
      <c r="D77" s="1"/>
      <c r="E77" s="1"/>
      <c r="F77" s="1"/>
      <c r="G77" s="1"/>
      <c r="H77" s="1"/>
      <c r="I77" s="1"/>
      <c r="J77" s="1"/>
      <c r="K77" s="1"/>
      <c r="L77" s="1"/>
      <c r="M77" s="279"/>
      <c r="N77" s="279"/>
      <c r="O77" s="279"/>
      <c r="P77" s="279"/>
      <c r="Q77" s="1"/>
      <c r="R77" s="1"/>
      <c r="S77" s="1"/>
      <c r="T77" s="1"/>
      <c r="U77" s="1"/>
      <c r="V77" s="1"/>
      <c r="W77" s="1"/>
      <c r="X77" s="1"/>
      <c r="Y77" s="279"/>
      <c r="Z77" s="279"/>
      <c r="AA77" s="279"/>
      <c r="AB77" s="279"/>
      <c r="AC77" s="279"/>
      <c r="AD77" s="279"/>
      <c r="AE77" s="279"/>
      <c r="AF77" s="279"/>
      <c r="AG77" s="279"/>
      <c r="AH77" s="279"/>
      <c r="AI77" s="1"/>
      <c r="AJ77" s="1"/>
      <c r="AK77" s="1"/>
      <c r="AL77" s="1"/>
      <c r="AM77" s="1"/>
      <c r="AN77" s="1"/>
      <c r="AO77" s="1"/>
      <c r="AP77" s="1"/>
      <c r="AQ77" s="1"/>
      <c r="AR77" s="1"/>
      <c r="AS77" s="1"/>
      <c r="AT77" s="1"/>
      <c r="AU77" s="1"/>
      <c r="AV77" s="1"/>
      <c r="AW77" s="1"/>
      <c r="AX77" s="1"/>
      <c r="AY77" s="1"/>
      <c r="AZ77" s="1"/>
      <c r="BA77" s="1"/>
    </row>
    <row r="78" spans="2:53" x14ac:dyDescent="0.3">
      <c r="B78" s="279"/>
      <c r="C78" s="1"/>
      <c r="D78" s="1"/>
      <c r="E78" s="1"/>
      <c r="F78" s="1"/>
      <c r="G78" s="1"/>
      <c r="H78" s="1"/>
      <c r="I78" s="1"/>
      <c r="J78" s="1"/>
      <c r="K78" s="1"/>
      <c r="L78" s="1"/>
      <c r="M78" s="279"/>
      <c r="N78" s="279"/>
      <c r="O78" s="279"/>
      <c r="P78" s="279"/>
      <c r="Q78" s="1"/>
      <c r="R78" s="1"/>
      <c r="S78" s="1"/>
      <c r="T78" s="1"/>
      <c r="U78" s="1"/>
      <c r="V78" s="1"/>
      <c r="W78" s="1"/>
      <c r="X78" s="1"/>
      <c r="Y78" s="279"/>
      <c r="Z78" s="279"/>
      <c r="AA78" s="279"/>
      <c r="AB78" s="279"/>
      <c r="AC78" s="279"/>
      <c r="AD78" s="279"/>
      <c r="AE78" s="279"/>
      <c r="AF78" s="279"/>
      <c r="AG78" s="279"/>
      <c r="AH78" s="279"/>
      <c r="AI78" s="1"/>
      <c r="AJ78" s="1"/>
      <c r="AK78" s="1"/>
      <c r="AL78" s="1"/>
      <c r="AM78" s="1"/>
      <c r="AN78" s="1"/>
      <c r="AO78" s="1"/>
      <c r="AP78" s="1"/>
      <c r="AQ78" s="1"/>
      <c r="AR78" s="1"/>
      <c r="AS78" s="1"/>
      <c r="AT78" s="1"/>
      <c r="AU78" s="1"/>
      <c r="AV78" s="1"/>
      <c r="AW78" s="1"/>
      <c r="AX78" s="1"/>
      <c r="AY78" s="1"/>
      <c r="AZ78" s="1"/>
      <c r="BA78" s="1"/>
    </row>
    <row r="79" spans="2:53" x14ac:dyDescent="0.3">
      <c r="B79" s="279"/>
      <c r="C79" s="1"/>
      <c r="D79" s="1"/>
      <c r="E79" s="1"/>
      <c r="F79" s="1"/>
      <c r="G79" s="1"/>
      <c r="H79" s="1"/>
      <c r="I79" s="1"/>
      <c r="J79" s="1"/>
      <c r="K79" s="1"/>
      <c r="L79" s="1"/>
      <c r="M79" s="279"/>
      <c r="N79" s="279"/>
      <c r="O79" s="279"/>
      <c r="P79" s="279"/>
      <c r="Q79" s="1"/>
      <c r="R79" s="1"/>
      <c r="S79" s="1"/>
      <c r="T79" s="1"/>
      <c r="U79" s="1"/>
      <c r="V79" s="1"/>
      <c r="W79" s="1"/>
      <c r="X79" s="1"/>
      <c r="Y79" s="279"/>
      <c r="Z79" s="279"/>
      <c r="AA79" s="279"/>
      <c r="AB79" s="279"/>
      <c r="AC79" s="279"/>
      <c r="AD79" s="279"/>
      <c r="AE79" s="279"/>
      <c r="AF79" s="279"/>
      <c r="AG79" s="279"/>
      <c r="AH79" s="279"/>
      <c r="AI79" s="1"/>
      <c r="AJ79" s="1"/>
      <c r="AK79" s="1"/>
      <c r="AL79" s="1"/>
      <c r="AM79" s="1"/>
      <c r="AN79" s="1"/>
      <c r="AO79" s="1"/>
      <c r="AP79" s="1"/>
      <c r="AQ79" s="1"/>
      <c r="AR79" s="1"/>
      <c r="AS79" s="1"/>
      <c r="AT79" s="1"/>
      <c r="AU79" s="1"/>
      <c r="AV79" s="1"/>
      <c r="AW79" s="1"/>
      <c r="AX79" s="1"/>
      <c r="AY79" s="1"/>
      <c r="AZ79" s="1"/>
      <c r="BA79" s="1"/>
    </row>
    <row r="80" spans="2:53" x14ac:dyDescent="0.3">
      <c r="B80" s="279"/>
      <c r="C80" s="1"/>
      <c r="D80" s="1"/>
      <c r="E80" s="1"/>
      <c r="F80" s="1"/>
      <c r="G80" s="1"/>
      <c r="H80" s="1"/>
      <c r="I80" s="1"/>
      <c r="J80" s="1"/>
      <c r="K80" s="1"/>
      <c r="L80" s="1"/>
      <c r="M80" s="279"/>
      <c r="N80" s="279"/>
      <c r="O80" s="279"/>
      <c r="P80" s="279"/>
      <c r="Q80" s="1"/>
      <c r="R80" s="1"/>
      <c r="S80" s="1"/>
      <c r="T80" s="1"/>
      <c r="U80" s="1"/>
      <c r="V80" s="1"/>
      <c r="W80" s="1"/>
      <c r="X80" s="1"/>
      <c r="Y80" s="279"/>
      <c r="Z80" s="279"/>
      <c r="AA80" s="279"/>
      <c r="AB80" s="279"/>
      <c r="AC80" s="279"/>
      <c r="AD80" s="279"/>
      <c r="AE80" s="279"/>
      <c r="AF80" s="279"/>
      <c r="AG80" s="279"/>
      <c r="AH80" s="279"/>
      <c r="AI80" s="1"/>
      <c r="AJ80" s="1"/>
      <c r="AK80" s="1"/>
      <c r="AL80" s="1"/>
      <c r="AM80" s="1"/>
      <c r="AN80" s="1"/>
      <c r="AO80" s="1"/>
      <c r="AP80" s="1"/>
      <c r="AQ80" s="1"/>
      <c r="AR80" s="1"/>
      <c r="AS80" s="1"/>
      <c r="AT80" s="1"/>
      <c r="AU80" s="1"/>
      <c r="AV80" s="1"/>
      <c r="AW80" s="1"/>
      <c r="AX80" s="1"/>
      <c r="AY80" s="1"/>
      <c r="AZ80" s="1"/>
      <c r="BA80" s="1"/>
    </row>
    <row r="81" spans="2:53" x14ac:dyDescent="0.3">
      <c r="B81" s="279"/>
      <c r="C81" s="1"/>
      <c r="D81" s="1"/>
      <c r="E81" s="1"/>
      <c r="F81" s="1"/>
      <c r="G81" s="1"/>
      <c r="H81" s="1"/>
      <c r="I81" s="1"/>
      <c r="J81" s="1"/>
      <c r="K81" s="1"/>
      <c r="L81" s="1"/>
      <c r="M81" s="279"/>
      <c r="N81" s="279"/>
      <c r="O81" s="279"/>
      <c r="P81" s="279"/>
      <c r="Q81" s="1"/>
      <c r="R81" s="1"/>
      <c r="S81" s="1"/>
      <c r="T81" s="1"/>
      <c r="U81" s="1"/>
      <c r="V81" s="1"/>
      <c r="W81" s="1"/>
      <c r="X81" s="1"/>
      <c r="Y81" s="279"/>
      <c r="Z81" s="279"/>
      <c r="AA81" s="279"/>
      <c r="AB81" s="279"/>
      <c r="AC81" s="279"/>
      <c r="AD81" s="279"/>
      <c r="AE81" s="279"/>
      <c r="AF81" s="279"/>
      <c r="AG81" s="279"/>
      <c r="AH81" s="279"/>
      <c r="AI81" s="1"/>
      <c r="AJ81" s="1"/>
      <c r="AK81" s="1"/>
      <c r="AL81" s="1"/>
      <c r="AM81" s="1"/>
      <c r="AN81" s="1"/>
      <c r="AO81" s="1"/>
      <c r="AP81" s="1"/>
      <c r="AQ81" s="1"/>
      <c r="AR81" s="1"/>
      <c r="AS81" s="1"/>
      <c r="AT81" s="1"/>
      <c r="AU81" s="1"/>
      <c r="AV81" s="1"/>
      <c r="AW81" s="1"/>
      <c r="AX81" s="1"/>
      <c r="AY81" s="1"/>
      <c r="AZ81" s="1"/>
      <c r="BA81" s="1"/>
    </row>
    <row r="82" spans="2:53" x14ac:dyDescent="0.3">
      <c r="B82" s="279"/>
      <c r="C82" s="1"/>
      <c r="D82" s="1"/>
      <c r="E82" s="1"/>
      <c r="F82" s="1"/>
      <c r="G82" s="1"/>
      <c r="H82" s="1"/>
      <c r="I82" s="1"/>
      <c r="J82" s="1"/>
      <c r="K82" s="1"/>
      <c r="L82" s="1"/>
      <c r="M82" s="279"/>
      <c r="N82" s="279"/>
      <c r="O82" s="279"/>
      <c r="P82" s="279"/>
      <c r="Q82" s="1"/>
      <c r="R82" s="1"/>
      <c r="S82" s="1"/>
      <c r="T82" s="1"/>
      <c r="U82" s="1"/>
      <c r="V82" s="1"/>
      <c r="W82" s="1"/>
      <c r="X82" s="1"/>
      <c r="Y82" s="279"/>
      <c r="Z82" s="279"/>
      <c r="AA82" s="279"/>
      <c r="AB82" s="279"/>
      <c r="AC82" s="279"/>
      <c r="AD82" s="279"/>
      <c r="AE82" s="279"/>
      <c r="AF82" s="279"/>
      <c r="AG82" s="279"/>
      <c r="AH82" s="279"/>
      <c r="AI82" s="1"/>
      <c r="AJ82" s="1"/>
      <c r="AK82" s="1"/>
      <c r="AL82" s="1"/>
      <c r="AM82" s="1"/>
      <c r="AN82" s="1"/>
      <c r="AO82" s="1"/>
      <c r="AP82" s="1"/>
      <c r="AQ82" s="1"/>
      <c r="AR82" s="1"/>
      <c r="AS82" s="1"/>
      <c r="AT82" s="1"/>
      <c r="AU82" s="1"/>
      <c r="AV82" s="1"/>
      <c r="AW82" s="1"/>
      <c r="AX82" s="1"/>
      <c r="AY82" s="1"/>
      <c r="AZ82" s="1"/>
      <c r="BA82" s="1"/>
    </row>
    <row r="83" spans="2:53" x14ac:dyDescent="0.3">
      <c r="B83" s="279"/>
      <c r="C83" s="1"/>
      <c r="D83" s="1"/>
      <c r="E83" s="1"/>
      <c r="F83" s="1"/>
      <c r="G83" s="1"/>
      <c r="H83" s="1"/>
      <c r="I83" s="1"/>
      <c r="J83" s="1"/>
      <c r="K83" s="1"/>
      <c r="L83" s="1"/>
      <c r="M83" s="279"/>
      <c r="N83" s="279"/>
      <c r="O83" s="279"/>
      <c r="P83" s="279"/>
      <c r="Q83" s="1"/>
      <c r="R83" s="1"/>
      <c r="S83" s="1"/>
      <c r="T83" s="1"/>
      <c r="U83" s="1"/>
      <c r="V83" s="1"/>
      <c r="W83" s="1"/>
      <c r="X83" s="1"/>
      <c r="Y83" s="279"/>
      <c r="Z83" s="279"/>
      <c r="AA83" s="279"/>
      <c r="AB83" s="279"/>
      <c r="AC83" s="279"/>
      <c r="AD83" s="279"/>
      <c r="AE83" s="279"/>
      <c r="AF83" s="279"/>
      <c r="AG83" s="279"/>
      <c r="AH83" s="279"/>
      <c r="AI83" s="1"/>
      <c r="AJ83" s="1"/>
      <c r="AK83" s="1"/>
      <c r="AL83" s="1"/>
      <c r="AM83" s="1"/>
      <c r="AN83" s="1"/>
      <c r="AO83" s="1"/>
      <c r="AP83" s="1"/>
      <c r="AQ83" s="1"/>
      <c r="AR83" s="1"/>
      <c r="AS83" s="1"/>
      <c r="AT83" s="1"/>
      <c r="AU83" s="1"/>
      <c r="AV83" s="1"/>
      <c r="AW83" s="1"/>
      <c r="AX83" s="1"/>
      <c r="AY83" s="1"/>
      <c r="AZ83" s="1"/>
      <c r="BA83" s="1"/>
    </row>
    <row r="84" spans="2:53" x14ac:dyDescent="0.3">
      <c r="B84" s="279"/>
      <c r="C84" s="1"/>
      <c r="D84" s="1"/>
      <c r="E84" s="1"/>
      <c r="F84" s="1"/>
      <c r="G84" s="1"/>
      <c r="H84" s="1"/>
      <c r="I84" s="1"/>
      <c r="J84" s="1"/>
      <c r="K84" s="1"/>
      <c r="L84" s="1"/>
      <c r="M84" s="279"/>
      <c r="N84" s="279"/>
      <c r="O84" s="279"/>
      <c r="P84" s="279"/>
      <c r="Q84" s="1"/>
      <c r="R84" s="1"/>
      <c r="S84" s="1"/>
      <c r="T84" s="1"/>
      <c r="U84" s="1"/>
      <c r="V84" s="1"/>
      <c r="W84" s="1"/>
      <c r="X84" s="1"/>
      <c r="Y84" s="279"/>
      <c r="Z84" s="279"/>
      <c r="AA84" s="279"/>
      <c r="AB84" s="279"/>
      <c r="AC84" s="279"/>
      <c r="AD84" s="279"/>
      <c r="AE84" s="279"/>
      <c r="AF84" s="279"/>
      <c r="AG84" s="279"/>
      <c r="AH84" s="279"/>
      <c r="AI84" s="1"/>
      <c r="AJ84" s="1"/>
      <c r="AK84" s="1"/>
      <c r="AL84" s="1"/>
      <c r="AM84" s="1"/>
      <c r="AN84" s="1"/>
      <c r="AO84" s="1"/>
      <c r="AP84" s="1"/>
      <c r="AQ84" s="1"/>
      <c r="AR84" s="1"/>
      <c r="AS84" s="1"/>
      <c r="AT84" s="1"/>
      <c r="AU84" s="1"/>
      <c r="AV84" s="1"/>
      <c r="AW84" s="1"/>
      <c r="AX84" s="1"/>
      <c r="AY84" s="1"/>
      <c r="AZ84" s="1"/>
      <c r="BA84" s="1"/>
    </row>
    <row r="85" spans="2:53" x14ac:dyDescent="0.3">
      <c r="B85" s="279"/>
      <c r="C85" s="1"/>
      <c r="D85" s="1"/>
      <c r="E85" s="1"/>
      <c r="F85" s="1"/>
      <c r="G85" s="1"/>
      <c r="H85" s="1"/>
      <c r="I85" s="1"/>
      <c r="J85" s="1"/>
      <c r="K85" s="1"/>
      <c r="L85" s="1"/>
      <c r="M85" s="279"/>
      <c r="N85" s="279"/>
      <c r="O85" s="279"/>
      <c r="P85" s="279"/>
      <c r="Q85" s="1"/>
      <c r="R85" s="1"/>
      <c r="S85" s="1"/>
      <c r="T85" s="1"/>
      <c r="U85" s="1"/>
      <c r="V85" s="1"/>
      <c r="W85" s="1"/>
      <c r="X85" s="1"/>
      <c r="Y85" s="279"/>
      <c r="Z85" s="279"/>
      <c r="AA85" s="279"/>
      <c r="AB85" s="279"/>
      <c r="AC85" s="279"/>
      <c r="AD85" s="279"/>
      <c r="AE85" s="279"/>
      <c r="AF85" s="279"/>
      <c r="AG85" s="279"/>
      <c r="AH85" s="279"/>
      <c r="AI85" s="1"/>
      <c r="AJ85" s="1"/>
      <c r="AK85" s="1"/>
      <c r="AL85" s="1"/>
      <c r="AM85" s="1"/>
      <c r="AN85" s="1"/>
      <c r="AO85" s="1"/>
      <c r="AP85" s="1"/>
      <c r="AQ85" s="1"/>
      <c r="AR85" s="1"/>
      <c r="AS85" s="1"/>
      <c r="AT85" s="1"/>
      <c r="AU85" s="1"/>
      <c r="AV85" s="1"/>
      <c r="AW85" s="1"/>
      <c r="AX85" s="1"/>
      <c r="AY85" s="1"/>
      <c r="AZ85" s="1"/>
      <c r="BA85" s="1"/>
    </row>
    <row r="86" spans="2:53" x14ac:dyDescent="0.3">
      <c r="B86" s="279"/>
      <c r="C86" s="1"/>
      <c r="D86" s="1"/>
      <c r="E86" s="1"/>
      <c r="F86" s="1"/>
      <c r="G86" s="1"/>
      <c r="H86" s="1"/>
      <c r="I86" s="1"/>
      <c r="J86" s="1"/>
      <c r="K86" s="1"/>
      <c r="L86" s="1"/>
      <c r="M86" s="279"/>
      <c r="N86" s="279"/>
      <c r="O86" s="279"/>
      <c r="P86" s="279"/>
      <c r="Q86" s="1"/>
      <c r="R86" s="1"/>
      <c r="S86" s="1"/>
      <c r="T86" s="1"/>
      <c r="U86" s="1"/>
      <c r="V86" s="1"/>
      <c r="W86" s="1"/>
      <c r="X86" s="1"/>
      <c r="Y86" s="279"/>
      <c r="Z86" s="279"/>
      <c r="AA86" s="279"/>
      <c r="AB86" s="279"/>
      <c r="AC86" s="279"/>
      <c r="AD86" s="279"/>
      <c r="AE86" s="279"/>
      <c r="AF86" s="279"/>
      <c r="AG86" s="279"/>
      <c r="AH86" s="279"/>
      <c r="AI86" s="1"/>
      <c r="AJ86" s="1"/>
      <c r="AK86" s="1"/>
      <c r="AL86" s="1"/>
      <c r="AM86" s="1"/>
      <c r="AN86" s="1"/>
      <c r="AO86" s="1"/>
      <c r="AP86" s="1"/>
      <c r="AQ86" s="1"/>
      <c r="AR86" s="1"/>
      <c r="AS86" s="1"/>
      <c r="AT86" s="1"/>
      <c r="AU86" s="1"/>
      <c r="AV86" s="1"/>
      <c r="AW86" s="1"/>
      <c r="AX86" s="1"/>
      <c r="AY86" s="1"/>
      <c r="AZ86" s="1"/>
      <c r="BA86" s="1"/>
    </row>
    <row r="87" spans="2:53" x14ac:dyDescent="0.3">
      <c r="B87" s="279"/>
      <c r="C87" s="1"/>
      <c r="D87" s="1"/>
      <c r="E87" s="1"/>
      <c r="F87" s="1"/>
      <c r="G87" s="1"/>
      <c r="H87" s="1"/>
      <c r="I87" s="1"/>
      <c r="J87" s="1"/>
      <c r="K87" s="1"/>
      <c r="L87" s="1"/>
      <c r="M87" s="279"/>
      <c r="N87" s="279"/>
      <c r="O87" s="279"/>
      <c r="P87" s="279"/>
      <c r="Q87" s="1"/>
      <c r="R87" s="1"/>
      <c r="S87" s="1"/>
      <c r="T87" s="1"/>
      <c r="U87" s="1"/>
      <c r="V87" s="1"/>
      <c r="W87" s="1"/>
      <c r="X87" s="1"/>
      <c r="Y87" s="279"/>
      <c r="Z87" s="279"/>
      <c r="AA87" s="279"/>
      <c r="AB87" s="279"/>
      <c r="AC87" s="279"/>
      <c r="AD87" s="279"/>
      <c r="AE87" s="279"/>
      <c r="AF87" s="279"/>
      <c r="AG87" s="279"/>
      <c r="AH87" s="279"/>
      <c r="AI87" s="1"/>
      <c r="AJ87" s="1"/>
      <c r="AK87" s="1"/>
      <c r="AL87" s="1"/>
      <c r="AM87" s="1"/>
      <c r="AN87" s="1"/>
      <c r="AO87" s="1"/>
      <c r="AP87" s="1"/>
      <c r="AQ87" s="1"/>
      <c r="AR87" s="1"/>
      <c r="AS87" s="1"/>
      <c r="AT87" s="1"/>
      <c r="AU87" s="1"/>
      <c r="AV87" s="1"/>
      <c r="AW87" s="1"/>
      <c r="AX87" s="1"/>
      <c r="AY87" s="1"/>
      <c r="AZ87" s="1"/>
      <c r="BA87" s="1"/>
    </row>
    <row r="88" spans="2:53" x14ac:dyDescent="0.3">
      <c r="B88" s="279"/>
      <c r="C88" s="1"/>
      <c r="D88" s="1"/>
      <c r="E88" s="1"/>
      <c r="F88" s="1"/>
      <c r="G88" s="1"/>
      <c r="H88" s="1"/>
      <c r="I88" s="1"/>
      <c r="J88" s="1"/>
      <c r="K88" s="1"/>
      <c r="L88" s="1"/>
      <c r="M88" s="279"/>
      <c r="N88" s="279"/>
      <c r="O88" s="279"/>
      <c r="P88" s="279"/>
      <c r="Q88" s="1"/>
      <c r="R88" s="1"/>
      <c r="S88" s="1"/>
      <c r="T88" s="1"/>
      <c r="U88" s="1"/>
      <c r="V88" s="1"/>
      <c r="W88" s="1"/>
      <c r="X88" s="1"/>
      <c r="Y88" s="279"/>
      <c r="Z88" s="279"/>
      <c r="AA88" s="279"/>
      <c r="AB88" s="279"/>
      <c r="AC88" s="279"/>
      <c r="AD88" s="279"/>
      <c r="AE88" s="279"/>
      <c r="AF88" s="279"/>
      <c r="AG88" s="279"/>
      <c r="AH88" s="279"/>
      <c r="AI88" s="1"/>
      <c r="AJ88" s="1"/>
      <c r="AK88" s="1"/>
      <c r="AL88" s="1"/>
      <c r="AM88" s="1"/>
      <c r="AN88" s="1"/>
      <c r="AO88" s="1"/>
      <c r="AP88" s="1"/>
      <c r="AQ88" s="1"/>
      <c r="AR88" s="1"/>
      <c r="AS88" s="1"/>
      <c r="AT88" s="1"/>
      <c r="AU88" s="1"/>
      <c r="AV88" s="1"/>
      <c r="AW88" s="1"/>
      <c r="AX88" s="1"/>
      <c r="AY88" s="1"/>
      <c r="AZ88" s="1"/>
      <c r="BA88" s="1"/>
    </row>
    <row r="89" spans="2:53" x14ac:dyDescent="0.3">
      <c r="B89" s="279"/>
      <c r="C89" s="1"/>
      <c r="D89" s="1"/>
      <c r="E89" s="1"/>
      <c r="F89" s="1"/>
      <c r="G89" s="1"/>
      <c r="H89" s="1"/>
      <c r="I89" s="1"/>
      <c r="J89" s="1"/>
      <c r="K89" s="1"/>
      <c r="L89" s="1"/>
      <c r="M89" s="279"/>
      <c r="N89" s="279"/>
      <c r="O89" s="279"/>
      <c r="P89" s="279"/>
      <c r="Q89" s="1"/>
      <c r="R89" s="1"/>
      <c r="S89" s="1"/>
      <c r="T89" s="1"/>
      <c r="U89" s="1"/>
      <c r="V89" s="1"/>
      <c r="W89" s="1"/>
      <c r="X89" s="1"/>
      <c r="Y89" s="279"/>
      <c r="Z89" s="279"/>
      <c r="AA89" s="279"/>
      <c r="AB89" s="279"/>
      <c r="AC89" s="279"/>
      <c r="AD89" s="279"/>
      <c r="AE89" s="279"/>
      <c r="AF89" s="279"/>
      <c r="AG89" s="279"/>
      <c r="AH89" s="279"/>
      <c r="AI89" s="1"/>
      <c r="AJ89" s="1"/>
      <c r="AK89" s="1"/>
      <c r="AL89" s="1"/>
      <c r="AM89" s="1"/>
      <c r="AN89" s="1"/>
      <c r="AO89" s="1"/>
      <c r="AP89" s="1"/>
      <c r="AQ89" s="1"/>
      <c r="AR89" s="1"/>
      <c r="AS89" s="1"/>
      <c r="AT89" s="1"/>
      <c r="AU89" s="1"/>
      <c r="AV89" s="1"/>
      <c r="AW89" s="1"/>
      <c r="AX89" s="1"/>
      <c r="AY89" s="1"/>
      <c r="AZ89" s="1"/>
      <c r="BA89" s="1"/>
    </row>
    <row r="90" spans="2:53" x14ac:dyDescent="0.3">
      <c r="B90" s="279"/>
      <c r="C90" s="1"/>
      <c r="D90" s="1"/>
      <c r="E90" s="1"/>
      <c r="F90" s="1"/>
      <c r="G90" s="1"/>
      <c r="H90" s="1"/>
      <c r="I90" s="1"/>
      <c r="J90" s="1"/>
      <c r="K90" s="1"/>
      <c r="L90" s="1"/>
      <c r="M90" s="279"/>
      <c r="N90" s="279"/>
      <c r="O90" s="279"/>
      <c r="P90" s="279"/>
      <c r="Q90" s="1"/>
      <c r="R90" s="1"/>
      <c r="S90" s="1"/>
      <c r="T90" s="1"/>
      <c r="U90" s="1"/>
      <c r="V90" s="1"/>
      <c r="W90" s="1"/>
      <c r="X90" s="1"/>
      <c r="Y90" s="279"/>
      <c r="Z90" s="279"/>
      <c r="AA90" s="279"/>
      <c r="AB90" s="279"/>
      <c r="AC90" s="279"/>
      <c r="AD90" s="279"/>
      <c r="AE90" s="279"/>
      <c r="AF90" s="279"/>
      <c r="AG90" s="279"/>
      <c r="AH90" s="279"/>
      <c r="AI90" s="1"/>
      <c r="AJ90" s="1"/>
      <c r="AK90" s="1"/>
      <c r="AL90" s="1"/>
      <c r="AM90" s="1"/>
      <c r="AN90" s="1"/>
      <c r="AO90" s="1"/>
      <c r="AP90" s="1"/>
      <c r="AQ90" s="1"/>
      <c r="AR90" s="1"/>
      <c r="AS90" s="1"/>
      <c r="AT90" s="1"/>
      <c r="AU90" s="1"/>
      <c r="AV90" s="1"/>
      <c r="AW90" s="1"/>
      <c r="AX90" s="1"/>
      <c r="AY90" s="1"/>
      <c r="AZ90" s="1"/>
      <c r="BA90" s="1"/>
    </row>
    <row r="91" spans="2:53" x14ac:dyDescent="0.3">
      <c r="B91" s="279"/>
      <c r="C91" s="1"/>
      <c r="D91" s="1"/>
      <c r="E91" s="1"/>
      <c r="F91" s="1"/>
      <c r="G91" s="1"/>
      <c r="H91" s="1"/>
      <c r="I91" s="1"/>
      <c r="J91" s="1"/>
      <c r="K91" s="1"/>
      <c r="L91" s="1"/>
      <c r="M91" s="279"/>
      <c r="N91" s="279"/>
      <c r="O91" s="279"/>
      <c r="P91" s="279"/>
      <c r="Q91" s="1"/>
      <c r="R91" s="1"/>
      <c r="S91" s="1"/>
      <c r="T91" s="1"/>
      <c r="U91" s="1"/>
      <c r="V91" s="1"/>
      <c r="W91" s="1"/>
      <c r="X91" s="1"/>
      <c r="Y91" s="279"/>
      <c r="Z91" s="279"/>
      <c r="AA91" s="279"/>
      <c r="AB91" s="279"/>
      <c r="AC91" s="279"/>
      <c r="AD91" s="279"/>
      <c r="AE91" s="279"/>
      <c r="AF91" s="279"/>
      <c r="AG91" s="279"/>
      <c r="AH91" s="279"/>
      <c r="AI91" s="1"/>
      <c r="AJ91" s="1"/>
      <c r="AK91" s="1"/>
      <c r="AL91" s="1"/>
      <c r="AM91" s="1"/>
      <c r="AN91" s="1"/>
      <c r="AO91" s="1"/>
      <c r="AP91" s="1"/>
      <c r="AQ91" s="1"/>
      <c r="AR91" s="1"/>
      <c r="AS91" s="1"/>
      <c r="AT91" s="1"/>
      <c r="AU91" s="1"/>
      <c r="AV91" s="1"/>
      <c r="AW91" s="1"/>
      <c r="AX91" s="1"/>
      <c r="AY91" s="1"/>
      <c r="AZ91" s="1"/>
      <c r="BA91" s="1"/>
    </row>
    <row r="92" spans="2:53" x14ac:dyDescent="0.3">
      <c r="B92" s="279"/>
      <c r="C92" s="1"/>
      <c r="D92" s="1"/>
      <c r="E92" s="1"/>
      <c r="F92" s="1"/>
      <c r="G92" s="1"/>
      <c r="H92" s="1"/>
      <c r="I92" s="1"/>
      <c r="J92" s="1"/>
      <c r="K92" s="1"/>
      <c r="L92" s="1"/>
      <c r="M92" s="279"/>
      <c r="N92" s="279"/>
      <c r="O92" s="279"/>
      <c r="P92" s="279"/>
      <c r="Q92" s="1"/>
      <c r="R92" s="1"/>
      <c r="S92" s="1"/>
      <c r="T92" s="1"/>
      <c r="U92" s="1"/>
      <c r="V92" s="1"/>
      <c r="W92" s="1"/>
      <c r="X92" s="1"/>
      <c r="Y92" s="279"/>
      <c r="Z92" s="279"/>
      <c r="AA92" s="279"/>
      <c r="AB92" s="279"/>
      <c r="AC92" s="279"/>
      <c r="AD92" s="279"/>
      <c r="AE92" s="279"/>
      <c r="AF92" s="279"/>
      <c r="AG92" s="279"/>
      <c r="AH92" s="279"/>
      <c r="AI92" s="1"/>
      <c r="AJ92" s="1"/>
      <c r="AK92" s="1"/>
      <c r="AL92" s="1"/>
      <c r="AM92" s="1"/>
      <c r="AN92" s="1"/>
      <c r="AO92" s="1"/>
      <c r="AP92" s="1"/>
      <c r="AQ92" s="1"/>
      <c r="AR92" s="1"/>
      <c r="AS92" s="1"/>
      <c r="AT92" s="1"/>
      <c r="AU92" s="1"/>
      <c r="AV92" s="1"/>
      <c r="AW92" s="1"/>
      <c r="AX92" s="1"/>
      <c r="AY92" s="1"/>
      <c r="AZ92" s="1"/>
      <c r="BA92" s="1"/>
    </row>
    <row r="93" spans="2:53" x14ac:dyDescent="0.3">
      <c r="B93" s="279"/>
      <c r="C93" s="1"/>
      <c r="D93" s="1"/>
      <c r="E93" s="1"/>
      <c r="F93" s="1"/>
      <c r="G93" s="1"/>
      <c r="H93" s="1"/>
      <c r="I93" s="1"/>
      <c r="J93" s="1"/>
      <c r="K93" s="1"/>
      <c r="L93" s="1"/>
      <c r="M93" s="279"/>
      <c r="N93" s="279"/>
      <c r="O93" s="279"/>
      <c r="P93" s="279"/>
      <c r="Q93" s="1"/>
      <c r="R93" s="1"/>
      <c r="S93" s="1"/>
      <c r="T93" s="1"/>
      <c r="U93" s="1"/>
      <c r="V93" s="1"/>
      <c r="W93" s="1"/>
      <c r="X93" s="1"/>
      <c r="Y93" s="279"/>
      <c r="Z93" s="279"/>
      <c r="AA93" s="279"/>
      <c r="AB93" s="279"/>
      <c r="AC93" s="279"/>
      <c r="AD93" s="279"/>
      <c r="AE93" s="279"/>
      <c r="AF93" s="279"/>
      <c r="AG93" s="279"/>
      <c r="AH93" s="279"/>
      <c r="AI93" s="1"/>
      <c r="AJ93" s="1"/>
      <c r="AK93" s="1"/>
      <c r="AL93" s="1"/>
      <c r="AM93" s="1"/>
      <c r="AN93" s="1"/>
      <c r="AO93" s="1"/>
      <c r="AP93" s="1"/>
      <c r="AQ93" s="1"/>
      <c r="AR93" s="1"/>
      <c r="AS93" s="1"/>
      <c r="AT93" s="1"/>
      <c r="AU93" s="1"/>
      <c r="AV93" s="1"/>
      <c r="AW93" s="1"/>
      <c r="AX93" s="1"/>
      <c r="AY93" s="1"/>
      <c r="AZ93" s="1"/>
      <c r="BA93" s="1"/>
    </row>
    <row r="94" spans="2:53" x14ac:dyDescent="0.3">
      <c r="B94" s="279"/>
      <c r="C94" s="1"/>
      <c r="D94" s="1"/>
      <c r="E94" s="1"/>
      <c r="F94" s="1"/>
      <c r="G94" s="1"/>
      <c r="H94" s="1"/>
      <c r="I94" s="1"/>
      <c r="J94" s="1"/>
      <c r="K94" s="1"/>
      <c r="L94" s="1"/>
      <c r="M94" s="279"/>
      <c r="N94" s="279"/>
      <c r="O94" s="279"/>
      <c r="P94" s="279"/>
      <c r="Q94" s="1"/>
      <c r="R94" s="1"/>
      <c r="S94" s="1"/>
      <c r="T94" s="1"/>
      <c r="U94" s="1"/>
      <c r="V94" s="1"/>
      <c r="W94" s="1"/>
      <c r="X94" s="1"/>
      <c r="Y94" s="279"/>
      <c r="Z94" s="279"/>
      <c r="AA94" s="279"/>
      <c r="AB94" s="279"/>
      <c r="AC94" s="279"/>
      <c r="AD94" s="279"/>
      <c r="AE94" s="279"/>
      <c r="AF94" s="279"/>
      <c r="AG94" s="279"/>
      <c r="AH94" s="279"/>
      <c r="AI94" s="1"/>
      <c r="AJ94" s="1"/>
      <c r="AK94" s="1"/>
      <c r="AL94" s="1"/>
      <c r="AM94" s="1"/>
      <c r="AN94" s="1"/>
      <c r="AO94" s="1"/>
      <c r="AP94" s="1"/>
      <c r="AQ94" s="1"/>
      <c r="AR94" s="1"/>
      <c r="AS94" s="1"/>
      <c r="AT94" s="1"/>
      <c r="AU94" s="1"/>
      <c r="AV94" s="1"/>
      <c r="AW94" s="1"/>
      <c r="AX94" s="1"/>
      <c r="AY94" s="1"/>
      <c r="AZ94" s="1"/>
      <c r="BA94" s="1"/>
    </row>
    <row r="95" spans="2:53" x14ac:dyDescent="0.3">
      <c r="B95" s="279"/>
      <c r="C95" s="1"/>
      <c r="D95" s="1"/>
      <c r="E95" s="1"/>
      <c r="F95" s="1"/>
      <c r="G95" s="1"/>
      <c r="H95" s="1"/>
      <c r="I95" s="1"/>
      <c r="J95" s="1"/>
      <c r="K95" s="1"/>
      <c r="L95" s="1"/>
      <c r="M95" s="279"/>
      <c r="N95" s="279"/>
      <c r="O95" s="279"/>
      <c r="P95" s="279"/>
      <c r="Q95" s="1"/>
      <c r="R95" s="1"/>
      <c r="S95" s="1"/>
      <c r="T95" s="1"/>
      <c r="U95" s="1"/>
      <c r="V95" s="1"/>
      <c r="W95" s="1"/>
      <c r="X95" s="1"/>
      <c r="Y95" s="279"/>
      <c r="Z95" s="279"/>
      <c r="AA95" s="279"/>
      <c r="AB95" s="279"/>
      <c r="AC95" s="279"/>
      <c r="AD95" s="279"/>
      <c r="AE95" s="279"/>
      <c r="AF95" s="279"/>
      <c r="AG95" s="279"/>
      <c r="AH95" s="279"/>
      <c r="AI95" s="1"/>
      <c r="AJ95" s="1"/>
      <c r="AK95" s="1"/>
      <c r="AL95" s="1"/>
      <c r="AM95" s="1"/>
      <c r="AN95" s="1"/>
      <c r="AO95" s="1"/>
      <c r="AP95" s="1"/>
      <c r="AQ95" s="1"/>
      <c r="AR95" s="1"/>
      <c r="AS95" s="1"/>
      <c r="AT95" s="1"/>
      <c r="AU95" s="1"/>
      <c r="AV95" s="1"/>
      <c r="AW95" s="1"/>
      <c r="AX95" s="1"/>
      <c r="AY95" s="1"/>
      <c r="AZ95" s="1"/>
      <c r="BA95" s="1"/>
    </row>
    <row r="96" spans="2:53" x14ac:dyDescent="0.3">
      <c r="B96" s="279"/>
      <c r="C96" s="1"/>
      <c r="D96" s="1"/>
      <c r="E96" s="1"/>
      <c r="F96" s="1"/>
      <c r="G96" s="1"/>
      <c r="H96" s="1"/>
      <c r="I96" s="1"/>
      <c r="J96" s="1"/>
      <c r="K96" s="1"/>
      <c r="L96" s="1"/>
      <c r="M96" s="279"/>
      <c r="N96" s="279"/>
      <c r="O96" s="279"/>
      <c r="P96" s="279"/>
      <c r="Q96" s="1"/>
      <c r="R96" s="1"/>
      <c r="S96" s="1"/>
      <c r="T96" s="1"/>
      <c r="U96" s="1"/>
      <c r="V96" s="1"/>
      <c r="W96" s="1"/>
      <c r="X96" s="1"/>
      <c r="Y96" s="279"/>
      <c r="Z96" s="279"/>
      <c r="AA96" s="279"/>
      <c r="AB96" s="279"/>
      <c r="AC96" s="279"/>
      <c r="AD96" s="279"/>
      <c r="AE96" s="279"/>
      <c r="AF96" s="279"/>
      <c r="AG96" s="279"/>
      <c r="AH96" s="279"/>
      <c r="AI96" s="1"/>
      <c r="AJ96" s="1"/>
      <c r="AK96" s="1"/>
      <c r="AL96" s="1"/>
      <c r="AM96" s="1"/>
      <c r="AN96" s="1"/>
      <c r="AO96" s="1"/>
      <c r="AP96" s="1"/>
      <c r="AQ96" s="1"/>
      <c r="AR96" s="1"/>
      <c r="AS96" s="1"/>
      <c r="AT96" s="1"/>
      <c r="AU96" s="1"/>
      <c r="AV96" s="1"/>
      <c r="AW96" s="1"/>
      <c r="AX96" s="1"/>
      <c r="AY96" s="1"/>
      <c r="AZ96" s="1"/>
      <c r="BA96" s="1"/>
    </row>
    <row r="97" spans="2:53" x14ac:dyDescent="0.3">
      <c r="B97" s="279"/>
      <c r="C97" s="1"/>
      <c r="D97" s="1"/>
      <c r="E97" s="1"/>
      <c r="F97" s="1"/>
      <c r="G97" s="1"/>
      <c r="H97" s="1"/>
      <c r="I97" s="1"/>
      <c r="J97" s="1"/>
      <c r="K97" s="1"/>
      <c r="L97" s="1"/>
      <c r="M97" s="279"/>
      <c r="N97" s="279"/>
      <c r="O97" s="279"/>
      <c r="P97" s="279"/>
      <c r="Q97" s="1"/>
      <c r="R97" s="1"/>
      <c r="S97" s="1"/>
      <c r="T97" s="1"/>
      <c r="U97" s="1"/>
      <c r="V97" s="1"/>
      <c r="W97" s="1"/>
      <c r="X97" s="1"/>
      <c r="Y97" s="279"/>
      <c r="Z97" s="279"/>
      <c r="AA97" s="279"/>
      <c r="AB97" s="279"/>
      <c r="AC97" s="279"/>
      <c r="AD97" s="279"/>
      <c r="AE97" s="279"/>
      <c r="AF97" s="279"/>
      <c r="AG97" s="279"/>
      <c r="AH97" s="279"/>
      <c r="AI97" s="1"/>
      <c r="AJ97" s="1"/>
      <c r="AK97" s="1"/>
      <c r="AL97" s="1"/>
      <c r="AM97" s="1"/>
      <c r="AN97" s="1"/>
      <c r="AO97" s="1"/>
      <c r="AP97" s="1"/>
      <c r="AQ97" s="1"/>
      <c r="AR97" s="1"/>
      <c r="AS97" s="1"/>
      <c r="AT97" s="1"/>
      <c r="AU97" s="1"/>
      <c r="AV97" s="1"/>
      <c r="AW97" s="1"/>
      <c r="AX97" s="1"/>
      <c r="AY97" s="1"/>
      <c r="AZ97" s="1"/>
      <c r="BA97" s="1"/>
    </row>
    <row r="98" spans="2:53" x14ac:dyDescent="0.3">
      <c r="B98" s="279"/>
      <c r="C98" s="1"/>
      <c r="D98" s="1"/>
      <c r="E98" s="1"/>
      <c r="F98" s="1"/>
      <c r="G98" s="1"/>
      <c r="H98" s="1"/>
      <c r="I98" s="1"/>
      <c r="J98" s="1"/>
      <c r="K98" s="1"/>
      <c r="L98" s="1"/>
      <c r="M98" s="279"/>
      <c r="N98" s="279"/>
      <c r="O98" s="279"/>
      <c r="P98" s="279"/>
      <c r="Q98" s="1"/>
      <c r="R98" s="1"/>
      <c r="S98" s="1"/>
      <c r="T98" s="1"/>
      <c r="U98" s="1"/>
      <c r="V98" s="1"/>
      <c r="W98" s="1"/>
      <c r="X98" s="1"/>
      <c r="Y98" s="279"/>
      <c r="Z98" s="279"/>
      <c r="AA98" s="279"/>
      <c r="AB98" s="279"/>
      <c r="AC98" s="279"/>
      <c r="AD98" s="279"/>
      <c r="AE98" s="279"/>
      <c r="AF98" s="279"/>
      <c r="AG98" s="279"/>
      <c r="AH98" s="279"/>
      <c r="AI98" s="1"/>
      <c r="AJ98" s="1"/>
      <c r="AK98" s="1"/>
      <c r="AL98" s="1"/>
      <c r="AM98" s="1"/>
      <c r="AN98" s="1"/>
      <c r="AO98" s="1"/>
      <c r="AP98" s="1"/>
      <c r="AQ98" s="1"/>
      <c r="AR98" s="1"/>
      <c r="AS98" s="1"/>
      <c r="AT98" s="1"/>
      <c r="AU98" s="1"/>
      <c r="AV98" s="1"/>
      <c r="AW98" s="1"/>
      <c r="AX98" s="1"/>
      <c r="AY98" s="1"/>
      <c r="AZ98" s="1"/>
      <c r="BA98" s="1"/>
    </row>
    <row r="99" spans="2:53" x14ac:dyDescent="0.3">
      <c r="B99" s="279"/>
      <c r="C99" s="1"/>
      <c r="D99" s="1"/>
      <c r="E99" s="1"/>
      <c r="F99" s="1"/>
      <c r="G99" s="1"/>
      <c r="H99" s="1"/>
      <c r="I99" s="1"/>
      <c r="J99" s="1"/>
      <c r="K99" s="1"/>
      <c r="L99" s="1"/>
      <c r="M99" s="279"/>
      <c r="N99" s="279"/>
      <c r="O99" s="279"/>
      <c r="P99" s="279"/>
      <c r="Q99" s="1"/>
      <c r="R99" s="1"/>
      <c r="S99" s="1"/>
      <c r="T99" s="1"/>
      <c r="U99" s="1"/>
      <c r="V99" s="1"/>
      <c r="W99" s="1"/>
      <c r="X99" s="1"/>
      <c r="Y99" s="279"/>
      <c r="Z99" s="279"/>
      <c r="AA99" s="279"/>
      <c r="AB99" s="279"/>
      <c r="AC99" s="279"/>
      <c r="AD99" s="279"/>
      <c r="AE99" s="279"/>
      <c r="AF99" s="279"/>
      <c r="AG99" s="279"/>
      <c r="AH99" s="279"/>
      <c r="AI99" s="1"/>
      <c r="AJ99" s="1"/>
      <c r="AK99" s="1"/>
      <c r="AL99" s="1"/>
      <c r="AM99" s="1"/>
      <c r="AN99" s="1"/>
      <c r="AO99" s="1"/>
      <c r="AP99" s="1"/>
      <c r="AQ99" s="1"/>
      <c r="AR99" s="1"/>
      <c r="AS99" s="1"/>
      <c r="AT99" s="1"/>
      <c r="AU99" s="1"/>
      <c r="AV99" s="1"/>
      <c r="AW99" s="1"/>
      <c r="AX99" s="1"/>
      <c r="AY99" s="1"/>
      <c r="AZ99" s="1"/>
      <c r="BA99" s="1"/>
    </row>
    <row r="100" spans="2:53" x14ac:dyDescent="0.3">
      <c r="B100" s="279"/>
      <c r="C100" s="1"/>
      <c r="D100" s="1"/>
      <c r="E100" s="1"/>
      <c r="F100" s="1"/>
      <c r="G100" s="1"/>
      <c r="H100" s="1"/>
      <c r="I100" s="1"/>
      <c r="J100" s="1"/>
      <c r="K100" s="1"/>
      <c r="L100" s="1"/>
      <c r="M100" s="279"/>
      <c r="N100" s="279"/>
      <c r="O100" s="279"/>
      <c r="P100" s="279"/>
      <c r="Q100" s="1"/>
      <c r="R100" s="1"/>
      <c r="S100" s="1"/>
      <c r="T100" s="1"/>
      <c r="U100" s="1"/>
      <c r="V100" s="1"/>
      <c r="W100" s="1"/>
      <c r="X100" s="1"/>
      <c r="Y100" s="279"/>
      <c r="Z100" s="279"/>
      <c r="AA100" s="279"/>
      <c r="AB100" s="279"/>
      <c r="AC100" s="279"/>
      <c r="AD100" s="279"/>
      <c r="AE100" s="279"/>
      <c r="AF100" s="279"/>
      <c r="AG100" s="279"/>
      <c r="AH100" s="279"/>
      <c r="AI100" s="1"/>
      <c r="AJ100" s="1"/>
      <c r="AK100" s="1"/>
      <c r="AL100" s="1"/>
      <c r="AM100" s="1"/>
      <c r="AN100" s="1"/>
      <c r="AO100" s="1"/>
      <c r="AP100" s="1"/>
      <c r="AQ100" s="1"/>
      <c r="AR100" s="1"/>
      <c r="AS100" s="1"/>
      <c r="AT100" s="1"/>
      <c r="AU100" s="1"/>
      <c r="AV100" s="1"/>
      <c r="AW100" s="1"/>
      <c r="AX100" s="1"/>
      <c r="AY100" s="1"/>
      <c r="AZ100" s="1"/>
      <c r="BA100" s="1"/>
    </row>
    <row r="101" spans="2:53" x14ac:dyDescent="0.3">
      <c r="B101" s="279"/>
      <c r="C101" s="1"/>
      <c r="D101" s="1"/>
      <c r="E101" s="1"/>
      <c r="F101" s="1"/>
      <c r="G101" s="1"/>
      <c r="H101" s="1"/>
      <c r="I101" s="1"/>
      <c r="J101" s="1"/>
      <c r="K101" s="1"/>
      <c r="L101" s="1"/>
      <c r="M101" s="279"/>
      <c r="N101" s="279"/>
      <c r="O101" s="279"/>
      <c r="P101" s="279"/>
      <c r="Q101" s="1"/>
      <c r="R101" s="1"/>
      <c r="S101" s="1"/>
      <c r="T101" s="1"/>
      <c r="U101" s="1"/>
      <c r="V101" s="1"/>
      <c r="W101" s="1"/>
      <c r="X101" s="1"/>
      <c r="Y101" s="279"/>
      <c r="Z101" s="279"/>
      <c r="AA101" s="279"/>
      <c r="AB101" s="279"/>
      <c r="AC101" s="279"/>
      <c r="AD101" s="279"/>
      <c r="AE101" s="279"/>
      <c r="AF101" s="279"/>
      <c r="AG101" s="279"/>
      <c r="AH101" s="279"/>
      <c r="AI101" s="1"/>
      <c r="AJ101" s="1"/>
      <c r="AK101" s="1"/>
      <c r="AL101" s="1"/>
      <c r="AM101" s="1"/>
      <c r="AN101" s="1"/>
      <c r="AO101" s="1"/>
      <c r="AP101" s="1"/>
      <c r="AQ101" s="1"/>
      <c r="AR101" s="1"/>
      <c r="AS101" s="1"/>
      <c r="AT101" s="1"/>
      <c r="AU101" s="1"/>
      <c r="AV101" s="1"/>
      <c r="AW101" s="1"/>
      <c r="AX101" s="1"/>
      <c r="AY101" s="1"/>
      <c r="AZ101" s="1"/>
      <c r="BA101" s="1"/>
    </row>
    <row r="102" spans="2:53" x14ac:dyDescent="0.3">
      <c r="B102" s="279"/>
      <c r="C102" s="1"/>
      <c r="D102" s="1"/>
      <c r="E102" s="1"/>
      <c r="F102" s="1"/>
      <c r="G102" s="1"/>
      <c r="H102" s="1"/>
      <c r="I102" s="1"/>
      <c r="J102" s="1"/>
      <c r="K102" s="1"/>
      <c r="L102" s="1"/>
      <c r="M102" s="279"/>
      <c r="N102" s="279"/>
      <c r="O102" s="279"/>
      <c r="P102" s="279"/>
      <c r="Q102" s="1"/>
      <c r="R102" s="1"/>
      <c r="S102" s="1"/>
      <c r="T102" s="1"/>
      <c r="U102" s="1"/>
      <c r="V102" s="1"/>
      <c r="W102" s="1"/>
      <c r="X102" s="1"/>
      <c r="Y102" s="279"/>
      <c r="Z102" s="279"/>
      <c r="AA102" s="279"/>
      <c r="AB102" s="279"/>
      <c r="AC102" s="279"/>
      <c r="AD102" s="279"/>
      <c r="AE102" s="279"/>
      <c r="AF102" s="279"/>
      <c r="AG102" s="279"/>
      <c r="AH102" s="279"/>
      <c r="AI102" s="1"/>
      <c r="AJ102" s="1"/>
      <c r="AK102" s="1"/>
      <c r="AL102" s="1"/>
      <c r="AM102" s="1"/>
      <c r="AN102" s="1"/>
      <c r="AO102" s="1"/>
      <c r="AP102" s="1"/>
      <c r="AQ102" s="1"/>
      <c r="AR102" s="1"/>
      <c r="AS102" s="1"/>
      <c r="AT102" s="1"/>
      <c r="AU102" s="1"/>
      <c r="AV102" s="1"/>
      <c r="AW102" s="1"/>
      <c r="AX102" s="1"/>
      <c r="AY102" s="1"/>
      <c r="AZ102" s="1"/>
      <c r="BA102" s="1"/>
    </row>
    <row r="103" spans="2:53" x14ac:dyDescent="0.3">
      <c r="B103" s="279"/>
      <c r="C103" s="1"/>
      <c r="D103" s="1"/>
      <c r="E103" s="1"/>
      <c r="F103" s="1"/>
      <c r="G103" s="1"/>
      <c r="H103" s="1"/>
      <c r="I103" s="1"/>
      <c r="J103" s="1"/>
      <c r="K103" s="1"/>
      <c r="L103" s="1"/>
      <c r="M103" s="279"/>
      <c r="N103" s="279"/>
      <c r="O103" s="279"/>
      <c r="P103" s="279"/>
      <c r="Q103" s="1"/>
      <c r="R103" s="1"/>
      <c r="S103" s="1"/>
      <c r="T103" s="1"/>
      <c r="U103" s="1"/>
      <c r="V103" s="1"/>
      <c r="W103" s="1"/>
      <c r="X103" s="1"/>
      <c r="Y103" s="279"/>
      <c r="Z103" s="279"/>
      <c r="AA103" s="279"/>
      <c r="AB103" s="279"/>
      <c r="AC103" s="279"/>
      <c r="AD103" s="279"/>
      <c r="AE103" s="279"/>
      <c r="AF103" s="279"/>
      <c r="AG103" s="279"/>
      <c r="AH103" s="279"/>
      <c r="AI103" s="1"/>
      <c r="AJ103" s="1"/>
      <c r="AK103" s="1"/>
      <c r="AL103" s="1"/>
      <c r="AM103" s="1"/>
      <c r="AN103" s="1"/>
      <c r="AO103" s="1"/>
      <c r="AP103" s="1"/>
      <c r="AQ103" s="1"/>
      <c r="AR103" s="1"/>
      <c r="AS103" s="1"/>
      <c r="AT103" s="1"/>
      <c r="AU103" s="1"/>
      <c r="AV103" s="1"/>
      <c r="AW103" s="1"/>
      <c r="AX103" s="1"/>
      <c r="AY103" s="1"/>
      <c r="AZ103" s="1"/>
      <c r="BA103" s="1"/>
    </row>
    <row r="104" spans="2:53" x14ac:dyDescent="0.3">
      <c r="B104" s="279"/>
      <c r="C104" s="1"/>
      <c r="D104" s="1"/>
      <c r="E104" s="1"/>
      <c r="F104" s="1"/>
      <c r="G104" s="1"/>
      <c r="H104" s="1"/>
      <c r="I104" s="1"/>
      <c r="J104" s="1"/>
      <c r="K104" s="1"/>
      <c r="L104" s="1"/>
      <c r="M104" s="279"/>
      <c r="N104" s="279"/>
      <c r="O104" s="279"/>
      <c r="P104" s="279"/>
      <c r="Q104" s="1"/>
      <c r="R104" s="1"/>
      <c r="S104" s="1"/>
      <c r="T104" s="1"/>
      <c r="U104" s="1"/>
      <c r="V104" s="1"/>
      <c r="W104" s="1"/>
      <c r="X104" s="1"/>
      <c r="Y104" s="279"/>
      <c r="Z104" s="279"/>
      <c r="AA104" s="279"/>
      <c r="AB104" s="279"/>
      <c r="AC104" s="279"/>
      <c r="AD104" s="279"/>
      <c r="AE104" s="279"/>
      <c r="AF104" s="279"/>
      <c r="AG104" s="279"/>
      <c r="AH104" s="279"/>
      <c r="AI104" s="1"/>
      <c r="AJ104" s="1"/>
      <c r="AK104" s="1"/>
      <c r="AL104" s="1"/>
      <c r="AM104" s="1"/>
      <c r="AN104" s="1"/>
      <c r="AO104" s="1"/>
      <c r="AP104" s="1"/>
      <c r="AQ104" s="1"/>
      <c r="AR104" s="1"/>
      <c r="AS104" s="1"/>
      <c r="AT104" s="1"/>
      <c r="AU104" s="1"/>
      <c r="AV104" s="1"/>
      <c r="AW104" s="1"/>
      <c r="AX104" s="1"/>
      <c r="AY104" s="1"/>
      <c r="AZ104" s="1"/>
      <c r="BA104" s="1"/>
    </row>
    <row r="105" spans="2:53" x14ac:dyDescent="0.3">
      <c r="B105" s="279"/>
      <c r="C105" s="1"/>
      <c r="D105" s="1"/>
      <c r="E105" s="1"/>
      <c r="F105" s="1"/>
      <c r="G105" s="1"/>
      <c r="H105" s="1"/>
      <c r="I105" s="1"/>
      <c r="J105" s="1"/>
      <c r="K105" s="1"/>
      <c r="L105" s="1"/>
      <c r="M105" s="279"/>
      <c r="N105" s="279"/>
      <c r="O105" s="279"/>
      <c r="P105" s="279"/>
      <c r="Q105" s="1"/>
      <c r="R105" s="1"/>
      <c r="S105" s="1"/>
      <c r="T105" s="1"/>
      <c r="U105" s="1"/>
      <c r="V105" s="1"/>
      <c r="W105" s="1"/>
      <c r="X105" s="1"/>
      <c r="Y105" s="279"/>
      <c r="Z105" s="279"/>
      <c r="AA105" s="279"/>
      <c r="AB105" s="279"/>
      <c r="AC105" s="279"/>
      <c r="AD105" s="279"/>
      <c r="AE105" s="279"/>
      <c r="AF105" s="279"/>
      <c r="AG105" s="279"/>
      <c r="AH105" s="279"/>
      <c r="AI105" s="1"/>
      <c r="AJ105" s="1"/>
      <c r="AK105" s="1"/>
      <c r="AL105" s="1"/>
      <c r="AM105" s="1"/>
      <c r="AN105" s="1"/>
      <c r="AO105" s="1"/>
      <c r="AP105" s="1"/>
      <c r="AQ105" s="1"/>
      <c r="AR105" s="1"/>
      <c r="AS105" s="1"/>
      <c r="AT105" s="1"/>
      <c r="AU105" s="1"/>
      <c r="AV105" s="1"/>
      <c r="AW105" s="1"/>
      <c r="AX105" s="1"/>
      <c r="AY105" s="1"/>
      <c r="AZ105" s="1"/>
      <c r="BA105" s="1"/>
    </row>
    <row r="106" spans="2:53" x14ac:dyDescent="0.3">
      <c r="B106" s="279"/>
      <c r="C106" s="1"/>
      <c r="D106" s="1"/>
      <c r="E106" s="1"/>
      <c r="F106" s="1"/>
      <c r="G106" s="1"/>
      <c r="H106" s="1"/>
      <c r="I106" s="1"/>
      <c r="J106" s="1"/>
      <c r="K106" s="1"/>
      <c r="L106" s="1"/>
      <c r="M106" s="279"/>
      <c r="N106" s="279"/>
      <c r="O106" s="279"/>
      <c r="P106" s="279"/>
      <c r="Q106" s="1"/>
      <c r="R106" s="1"/>
      <c r="S106" s="1"/>
      <c r="T106" s="1"/>
      <c r="U106" s="1"/>
      <c r="V106" s="1"/>
      <c r="W106" s="1"/>
      <c r="X106" s="1"/>
      <c r="Y106" s="279"/>
      <c r="Z106" s="279"/>
      <c r="AA106" s="279"/>
      <c r="AB106" s="279"/>
      <c r="AC106" s="279"/>
      <c r="AD106" s="279"/>
      <c r="AE106" s="279"/>
      <c r="AF106" s="279"/>
      <c r="AG106" s="279"/>
      <c r="AH106" s="279"/>
      <c r="AI106" s="1"/>
      <c r="AJ106" s="1"/>
      <c r="AK106" s="1"/>
      <c r="AL106" s="1"/>
      <c r="AM106" s="1"/>
      <c r="AN106" s="1"/>
      <c r="AO106" s="1"/>
      <c r="AP106" s="1"/>
      <c r="AQ106" s="1"/>
      <c r="AR106" s="1"/>
      <c r="AS106" s="1"/>
      <c r="AT106" s="1"/>
      <c r="AU106" s="1"/>
      <c r="AV106" s="1"/>
      <c r="AW106" s="1"/>
      <c r="AX106" s="1"/>
      <c r="AY106" s="1"/>
      <c r="AZ106" s="1"/>
      <c r="BA106" s="1"/>
    </row>
    <row r="107" spans="2:53" x14ac:dyDescent="0.3">
      <c r="B107" s="279"/>
      <c r="C107" s="1"/>
      <c r="D107" s="1"/>
      <c r="E107" s="1"/>
      <c r="F107" s="1"/>
      <c r="G107" s="1"/>
      <c r="H107" s="1"/>
      <c r="I107" s="1"/>
      <c r="J107" s="1"/>
      <c r="K107" s="1"/>
      <c r="L107" s="1"/>
      <c r="M107" s="279"/>
      <c r="N107" s="279"/>
      <c r="O107" s="279"/>
      <c r="P107" s="279"/>
      <c r="Q107" s="1"/>
      <c r="R107" s="1"/>
      <c r="S107" s="1"/>
      <c r="T107" s="1"/>
      <c r="U107" s="1"/>
      <c r="V107" s="1"/>
      <c r="W107" s="1"/>
      <c r="X107" s="1"/>
      <c r="Y107" s="279"/>
      <c r="Z107" s="279"/>
      <c r="AA107" s="279"/>
      <c r="AB107" s="279"/>
      <c r="AC107" s="279"/>
      <c r="AD107" s="279"/>
      <c r="AE107" s="279"/>
      <c r="AF107" s="279"/>
      <c r="AG107" s="279"/>
      <c r="AH107" s="279"/>
      <c r="AI107" s="1"/>
      <c r="AJ107" s="1"/>
      <c r="AK107" s="1"/>
      <c r="AL107" s="1"/>
      <c r="AM107" s="1"/>
      <c r="AN107" s="1"/>
      <c r="AO107" s="1"/>
      <c r="AP107" s="1"/>
      <c r="AQ107" s="1"/>
      <c r="AR107" s="1"/>
      <c r="AS107" s="1"/>
      <c r="AT107" s="1"/>
      <c r="AU107" s="1"/>
      <c r="AV107" s="1"/>
      <c r="AW107" s="1"/>
      <c r="AX107" s="1"/>
      <c r="AY107" s="1"/>
      <c r="AZ107" s="1"/>
      <c r="BA107" s="1"/>
    </row>
    <row r="108" spans="2:53" x14ac:dyDescent="0.3">
      <c r="B108" s="279"/>
      <c r="C108" s="1"/>
      <c r="D108" s="1"/>
      <c r="E108" s="1"/>
      <c r="F108" s="1"/>
      <c r="G108" s="1"/>
      <c r="H108" s="1"/>
      <c r="I108" s="1"/>
      <c r="J108" s="1"/>
      <c r="K108" s="1"/>
      <c r="L108" s="1"/>
      <c r="M108" s="279"/>
      <c r="N108" s="279"/>
      <c r="O108" s="279"/>
      <c r="P108" s="279"/>
      <c r="Q108" s="1"/>
      <c r="R108" s="1"/>
      <c r="S108" s="1"/>
      <c r="T108" s="1"/>
      <c r="U108" s="1"/>
      <c r="V108" s="1"/>
      <c r="W108" s="1"/>
      <c r="X108" s="1"/>
      <c r="Y108" s="279"/>
      <c r="Z108" s="279"/>
      <c r="AA108" s="279"/>
      <c r="AB108" s="279"/>
      <c r="AC108" s="279"/>
      <c r="AD108" s="279"/>
      <c r="AE108" s="279"/>
      <c r="AF108" s="279"/>
      <c r="AG108" s="279"/>
      <c r="AH108" s="279"/>
      <c r="AI108" s="1"/>
      <c r="AJ108" s="1"/>
      <c r="AK108" s="1"/>
      <c r="AL108" s="1"/>
      <c r="AM108" s="1"/>
      <c r="AN108" s="1"/>
      <c r="AO108" s="1"/>
      <c r="AP108" s="1"/>
      <c r="AQ108" s="1"/>
      <c r="AR108" s="1"/>
      <c r="AS108" s="1"/>
      <c r="AT108" s="1"/>
      <c r="AU108" s="1"/>
      <c r="AV108" s="1"/>
      <c r="AW108" s="1"/>
      <c r="AX108" s="1"/>
      <c r="AY108" s="1"/>
      <c r="AZ108" s="1"/>
      <c r="BA108" s="1"/>
    </row>
    <row r="109" spans="2:53" x14ac:dyDescent="0.3">
      <c r="B109" s="279"/>
      <c r="C109" s="1"/>
      <c r="D109" s="1"/>
      <c r="E109" s="1"/>
      <c r="F109" s="1"/>
      <c r="G109" s="1"/>
      <c r="H109" s="1"/>
      <c r="I109" s="1"/>
      <c r="J109" s="1"/>
      <c r="K109" s="1"/>
      <c r="L109" s="1"/>
      <c r="M109" s="279"/>
      <c r="N109" s="279"/>
      <c r="O109" s="279"/>
      <c r="P109" s="279"/>
      <c r="Q109" s="1"/>
      <c r="R109" s="1"/>
      <c r="S109" s="1"/>
      <c r="T109" s="1"/>
      <c r="U109" s="1"/>
      <c r="V109" s="1"/>
      <c r="W109" s="1"/>
      <c r="X109" s="1"/>
      <c r="Y109" s="279"/>
      <c r="Z109" s="279"/>
      <c r="AA109" s="279"/>
      <c r="AB109" s="279"/>
      <c r="AC109" s="279"/>
      <c r="AD109" s="279"/>
      <c r="AE109" s="279"/>
      <c r="AF109" s="279"/>
      <c r="AG109" s="279"/>
      <c r="AH109" s="279"/>
      <c r="AI109" s="1"/>
      <c r="AJ109" s="1"/>
      <c r="AK109" s="1"/>
      <c r="AL109" s="1"/>
      <c r="AM109" s="1"/>
      <c r="AN109" s="1"/>
      <c r="AO109" s="1"/>
      <c r="AP109" s="1"/>
      <c r="AQ109" s="1"/>
      <c r="AR109" s="1"/>
      <c r="AS109" s="1"/>
      <c r="AT109" s="1"/>
      <c r="AU109" s="1"/>
      <c r="AV109" s="1"/>
      <c r="AW109" s="1"/>
      <c r="AX109" s="1"/>
      <c r="AY109" s="1"/>
      <c r="AZ109" s="1"/>
      <c r="BA109" s="1"/>
    </row>
    <row r="110" spans="2:53" x14ac:dyDescent="0.3">
      <c r="B110" s="279"/>
      <c r="C110" s="1"/>
      <c r="D110" s="1"/>
      <c r="E110" s="1"/>
      <c r="F110" s="1"/>
      <c r="G110" s="1"/>
      <c r="H110" s="1"/>
      <c r="I110" s="1"/>
      <c r="J110" s="1"/>
      <c r="K110" s="1"/>
      <c r="L110" s="1"/>
      <c r="M110" s="279"/>
      <c r="N110" s="279"/>
      <c r="O110" s="279"/>
      <c r="P110" s="279"/>
      <c r="Q110" s="1"/>
      <c r="R110" s="1"/>
      <c r="S110" s="1"/>
      <c r="T110" s="1"/>
      <c r="U110" s="1"/>
      <c r="V110" s="1"/>
      <c r="W110" s="1"/>
      <c r="X110" s="1"/>
      <c r="Y110" s="279"/>
      <c r="Z110" s="279"/>
      <c r="AA110" s="279"/>
      <c r="AB110" s="279"/>
      <c r="AC110" s="279"/>
      <c r="AD110" s="279"/>
      <c r="AE110" s="279"/>
      <c r="AF110" s="279"/>
      <c r="AG110" s="279"/>
      <c r="AH110" s="279"/>
      <c r="AI110" s="1"/>
      <c r="AJ110" s="1"/>
      <c r="AK110" s="1"/>
      <c r="AL110" s="1"/>
      <c r="AM110" s="1"/>
      <c r="AN110" s="1"/>
      <c r="AO110" s="1"/>
      <c r="AP110" s="1"/>
      <c r="AQ110" s="1"/>
      <c r="AR110" s="1"/>
      <c r="AS110" s="1"/>
      <c r="AT110" s="1"/>
      <c r="AU110" s="1"/>
      <c r="AV110" s="1"/>
      <c r="AW110" s="1"/>
      <c r="AX110" s="1"/>
      <c r="AY110" s="1"/>
      <c r="AZ110" s="1"/>
      <c r="BA110" s="1"/>
    </row>
    <row r="111" spans="2:53" x14ac:dyDescent="0.3">
      <c r="B111" s="279"/>
      <c r="C111" s="1"/>
      <c r="D111" s="1"/>
      <c r="E111" s="1"/>
      <c r="F111" s="1"/>
      <c r="G111" s="1"/>
      <c r="H111" s="1"/>
      <c r="I111" s="1"/>
      <c r="J111" s="1"/>
      <c r="K111" s="1"/>
      <c r="L111" s="1"/>
      <c r="M111" s="279"/>
      <c r="N111" s="279"/>
      <c r="O111" s="279"/>
      <c r="P111" s="279"/>
      <c r="Q111" s="1"/>
      <c r="R111" s="1"/>
      <c r="S111" s="1"/>
      <c r="T111" s="1"/>
      <c r="U111" s="1"/>
      <c r="V111" s="1"/>
      <c r="W111" s="1"/>
      <c r="X111" s="1"/>
      <c r="Y111" s="279"/>
      <c r="Z111" s="279"/>
      <c r="AA111" s="279"/>
      <c r="AB111" s="279"/>
      <c r="AC111" s="279"/>
      <c r="AD111" s="279"/>
      <c r="AE111" s="279"/>
      <c r="AF111" s="279"/>
      <c r="AG111" s="279"/>
      <c r="AH111" s="279"/>
      <c r="AI111" s="1"/>
      <c r="AJ111" s="1"/>
      <c r="AK111" s="1"/>
      <c r="AL111" s="1"/>
      <c r="AM111" s="1"/>
      <c r="AN111" s="1"/>
      <c r="AO111" s="1"/>
      <c r="AP111" s="1"/>
      <c r="AQ111" s="1"/>
      <c r="AR111" s="1"/>
      <c r="AS111" s="1"/>
      <c r="AT111" s="1"/>
      <c r="AU111" s="1"/>
      <c r="AV111" s="1"/>
      <c r="AW111" s="1"/>
      <c r="AX111" s="1"/>
      <c r="AY111" s="1"/>
      <c r="AZ111" s="1"/>
      <c r="BA111" s="1"/>
    </row>
    <row r="112" spans="2:53" x14ac:dyDescent="0.3">
      <c r="B112" s="279"/>
      <c r="C112" s="1"/>
      <c r="D112" s="1"/>
      <c r="E112" s="1"/>
      <c r="F112" s="1"/>
      <c r="G112" s="1"/>
      <c r="H112" s="1"/>
      <c r="I112" s="1"/>
      <c r="J112" s="1"/>
      <c r="K112" s="1"/>
      <c r="L112" s="1"/>
      <c r="M112" s="279"/>
      <c r="N112" s="279"/>
      <c r="O112" s="279"/>
      <c r="P112" s="279"/>
      <c r="Q112" s="1"/>
      <c r="R112" s="1"/>
      <c r="S112" s="1"/>
      <c r="T112" s="1"/>
      <c r="U112" s="1"/>
      <c r="V112" s="1"/>
      <c r="W112" s="1"/>
      <c r="X112" s="1"/>
      <c r="Y112" s="279"/>
      <c r="Z112" s="279"/>
      <c r="AA112" s="279"/>
      <c r="AB112" s="279"/>
      <c r="AC112" s="279"/>
      <c r="AD112" s="279"/>
      <c r="AE112" s="279"/>
      <c r="AF112" s="279"/>
      <c r="AG112" s="279"/>
      <c r="AH112" s="279"/>
      <c r="AI112" s="1"/>
      <c r="AJ112" s="1"/>
      <c r="AK112" s="1"/>
      <c r="AL112" s="1"/>
      <c r="AM112" s="1"/>
      <c r="AN112" s="1"/>
      <c r="AO112" s="1"/>
      <c r="AP112" s="1"/>
      <c r="AQ112" s="1"/>
      <c r="AR112" s="1"/>
      <c r="AS112" s="1"/>
      <c r="AT112" s="1"/>
      <c r="AU112" s="1"/>
      <c r="AV112" s="1"/>
      <c r="AW112" s="1"/>
      <c r="AX112" s="1"/>
      <c r="AY112" s="1"/>
      <c r="AZ112" s="1"/>
      <c r="BA112" s="1"/>
    </row>
    <row r="113" spans="2:53" x14ac:dyDescent="0.3">
      <c r="B113" s="279"/>
      <c r="C113" s="1"/>
      <c r="D113" s="1"/>
      <c r="E113" s="1"/>
      <c r="F113" s="1"/>
      <c r="G113" s="1"/>
      <c r="H113" s="1"/>
      <c r="I113" s="1"/>
      <c r="J113" s="1"/>
      <c r="K113" s="1"/>
      <c r="L113" s="1"/>
      <c r="M113" s="279"/>
      <c r="N113" s="279"/>
      <c r="O113" s="279"/>
      <c r="P113" s="279"/>
      <c r="Q113" s="1"/>
      <c r="R113" s="1"/>
      <c r="S113" s="1"/>
      <c r="T113" s="1"/>
      <c r="U113" s="1"/>
      <c r="V113" s="1"/>
      <c r="W113" s="1"/>
      <c r="X113" s="1"/>
      <c r="Y113" s="279"/>
      <c r="Z113" s="279"/>
      <c r="AA113" s="279"/>
      <c r="AB113" s="279"/>
      <c r="AC113" s="279"/>
      <c r="AD113" s="279"/>
      <c r="AE113" s="279"/>
      <c r="AF113" s="279"/>
      <c r="AG113" s="279"/>
      <c r="AH113" s="279"/>
      <c r="AI113" s="1"/>
      <c r="AJ113" s="1"/>
      <c r="AK113" s="1"/>
      <c r="AL113" s="1"/>
      <c r="AM113" s="1"/>
      <c r="AN113" s="1"/>
      <c r="AO113" s="1"/>
      <c r="AP113" s="1"/>
      <c r="AQ113" s="1"/>
      <c r="AR113" s="1"/>
      <c r="AS113" s="1"/>
      <c r="AT113" s="1"/>
      <c r="AU113" s="1"/>
      <c r="AV113" s="1"/>
      <c r="AW113" s="1"/>
      <c r="AX113" s="1"/>
      <c r="AY113" s="1"/>
      <c r="AZ113" s="1"/>
      <c r="BA113" s="1"/>
    </row>
    <row r="114" spans="2:53" x14ac:dyDescent="0.3">
      <c r="B114" s="279"/>
      <c r="C114" s="1"/>
      <c r="D114" s="1"/>
      <c r="E114" s="1"/>
      <c r="F114" s="1"/>
      <c r="G114" s="1"/>
      <c r="H114" s="1"/>
      <c r="I114" s="1"/>
      <c r="J114" s="1"/>
      <c r="K114" s="1"/>
      <c r="L114" s="1"/>
      <c r="M114" s="279"/>
      <c r="N114" s="279"/>
      <c r="O114" s="279"/>
      <c r="P114" s="279"/>
      <c r="Q114" s="1"/>
      <c r="R114" s="1"/>
      <c r="S114" s="1"/>
      <c r="T114" s="1"/>
      <c r="U114" s="1"/>
      <c r="V114" s="1"/>
      <c r="W114" s="1"/>
      <c r="X114" s="1"/>
      <c r="Y114" s="279"/>
      <c r="Z114" s="279"/>
      <c r="AA114" s="279"/>
      <c r="AB114" s="279"/>
      <c r="AC114" s="279"/>
      <c r="AD114" s="279"/>
      <c r="AE114" s="279"/>
      <c r="AF114" s="279"/>
      <c r="AG114" s="279"/>
      <c r="AH114" s="279"/>
      <c r="AI114" s="1"/>
      <c r="AJ114" s="1"/>
      <c r="AK114" s="1"/>
      <c r="AL114" s="1"/>
      <c r="AM114" s="1"/>
      <c r="AN114" s="1"/>
      <c r="AO114" s="1"/>
      <c r="AP114" s="1"/>
      <c r="AQ114" s="1"/>
      <c r="AR114" s="1"/>
      <c r="AS114" s="1"/>
      <c r="AT114" s="1"/>
      <c r="AU114" s="1"/>
      <c r="AV114" s="1"/>
      <c r="AW114" s="1"/>
      <c r="AX114" s="1"/>
      <c r="AY114" s="1"/>
      <c r="AZ114" s="1"/>
      <c r="BA114" s="1"/>
    </row>
    <row r="115" spans="2:53" x14ac:dyDescent="0.3">
      <c r="B115" s="279"/>
      <c r="C115" s="1"/>
      <c r="D115" s="1"/>
      <c r="E115" s="1"/>
      <c r="F115" s="1"/>
      <c r="G115" s="1"/>
      <c r="H115" s="1"/>
      <c r="I115" s="1"/>
      <c r="J115" s="1"/>
      <c r="K115" s="1"/>
      <c r="L115" s="1"/>
      <c r="M115" s="279"/>
      <c r="N115" s="279"/>
      <c r="O115" s="279"/>
      <c r="P115" s="279"/>
      <c r="Q115" s="1"/>
      <c r="R115" s="1"/>
      <c r="S115" s="1"/>
      <c r="T115" s="1"/>
      <c r="U115" s="1"/>
      <c r="V115" s="1"/>
      <c r="W115" s="1"/>
      <c r="X115" s="1"/>
      <c r="Y115" s="279"/>
      <c r="Z115" s="279"/>
      <c r="AA115" s="279"/>
      <c r="AB115" s="279"/>
      <c r="AC115" s="279"/>
      <c r="AD115" s="279"/>
      <c r="AE115" s="279"/>
      <c r="AF115" s="279"/>
      <c r="AG115" s="279"/>
      <c r="AH115" s="279"/>
      <c r="AI115" s="1"/>
      <c r="AJ115" s="1"/>
      <c r="AK115" s="1"/>
      <c r="AL115" s="1"/>
      <c r="AM115" s="1"/>
      <c r="AN115" s="1"/>
      <c r="AO115" s="1"/>
      <c r="AP115" s="1"/>
      <c r="AQ115" s="1"/>
      <c r="AR115" s="1"/>
      <c r="AS115" s="1"/>
      <c r="AT115" s="1"/>
      <c r="AU115" s="1"/>
      <c r="AV115" s="1"/>
      <c r="AW115" s="1"/>
      <c r="AX115" s="1"/>
      <c r="AY115" s="1"/>
      <c r="AZ115" s="1"/>
      <c r="BA115" s="1"/>
    </row>
    <row r="116" spans="2:53" x14ac:dyDescent="0.3">
      <c r="B116" s="279"/>
      <c r="C116" s="1"/>
      <c r="D116" s="1"/>
      <c r="E116" s="1"/>
      <c r="F116" s="1"/>
      <c r="G116" s="1"/>
      <c r="H116" s="1"/>
      <c r="I116" s="1"/>
      <c r="J116" s="1"/>
      <c r="K116" s="1"/>
      <c r="L116" s="1"/>
      <c r="M116" s="279"/>
      <c r="N116" s="279"/>
      <c r="O116" s="279"/>
      <c r="P116" s="279"/>
      <c r="Q116" s="1"/>
      <c r="R116" s="1"/>
      <c r="S116" s="1"/>
      <c r="T116" s="1"/>
      <c r="U116" s="1"/>
      <c r="V116" s="1"/>
      <c r="W116" s="1"/>
      <c r="X116" s="1"/>
      <c r="Y116" s="279"/>
      <c r="Z116" s="279"/>
      <c r="AA116" s="279"/>
      <c r="AB116" s="279"/>
      <c r="AC116" s="279"/>
      <c r="AD116" s="279"/>
      <c r="AE116" s="279"/>
      <c r="AF116" s="279"/>
      <c r="AG116" s="279"/>
      <c r="AH116" s="279"/>
      <c r="AI116" s="1"/>
      <c r="AJ116" s="1"/>
      <c r="AK116" s="1"/>
      <c r="AL116" s="1"/>
      <c r="AM116" s="1"/>
      <c r="AN116" s="1"/>
      <c r="AO116" s="1"/>
      <c r="AP116" s="1"/>
      <c r="AQ116" s="1"/>
      <c r="AR116" s="1"/>
      <c r="AS116" s="1"/>
      <c r="AT116" s="1"/>
      <c r="AU116" s="1"/>
      <c r="AV116" s="1"/>
      <c r="AW116" s="1"/>
      <c r="AX116" s="1"/>
      <c r="AY116" s="1"/>
      <c r="AZ116" s="1"/>
      <c r="BA116" s="1"/>
    </row>
    <row r="117" spans="2:53" x14ac:dyDescent="0.3">
      <c r="B117" s="279"/>
      <c r="C117" s="1"/>
      <c r="D117" s="1"/>
      <c r="E117" s="1"/>
      <c r="F117" s="1"/>
      <c r="G117" s="1"/>
      <c r="H117" s="1"/>
      <c r="I117" s="1"/>
      <c r="J117" s="1"/>
      <c r="K117" s="1"/>
      <c r="L117" s="1"/>
      <c r="M117" s="279"/>
      <c r="N117" s="279"/>
      <c r="O117" s="279"/>
      <c r="P117" s="279"/>
      <c r="Q117" s="1"/>
      <c r="R117" s="1"/>
      <c r="S117" s="1"/>
      <c r="T117" s="1"/>
      <c r="U117" s="1"/>
      <c r="V117" s="1"/>
      <c r="W117" s="1"/>
      <c r="X117" s="1"/>
      <c r="Y117" s="279"/>
      <c r="Z117" s="279"/>
      <c r="AA117" s="279"/>
      <c r="AB117" s="279"/>
      <c r="AC117" s="279"/>
      <c r="AD117" s="279"/>
      <c r="AE117" s="279"/>
      <c r="AF117" s="279"/>
      <c r="AG117" s="279"/>
      <c r="AH117" s="279"/>
      <c r="AI117" s="1"/>
      <c r="AJ117" s="1"/>
      <c r="AK117" s="1"/>
      <c r="AL117" s="1"/>
      <c r="AM117" s="1"/>
      <c r="AN117" s="1"/>
      <c r="AO117" s="1"/>
      <c r="AP117" s="1"/>
      <c r="AQ117" s="1"/>
      <c r="AR117" s="1"/>
      <c r="AS117" s="1"/>
      <c r="AT117" s="1"/>
      <c r="AU117" s="1"/>
      <c r="AV117" s="1"/>
      <c r="AW117" s="1"/>
      <c r="AX117" s="1"/>
      <c r="AY117" s="1"/>
      <c r="AZ117" s="1"/>
      <c r="BA117" s="1"/>
    </row>
    <row r="118" spans="2:53" x14ac:dyDescent="0.3">
      <c r="B118" s="279"/>
      <c r="C118" s="1"/>
      <c r="D118" s="1"/>
      <c r="E118" s="1"/>
      <c r="F118" s="1"/>
      <c r="G118" s="1"/>
      <c r="H118" s="1"/>
      <c r="I118" s="1"/>
      <c r="J118" s="1"/>
      <c r="K118" s="1"/>
      <c r="L118" s="1"/>
      <c r="M118" s="279"/>
      <c r="N118" s="279"/>
      <c r="O118" s="279"/>
      <c r="P118" s="279"/>
      <c r="Q118" s="1"/>
      <c r="R118" s="1"/>
      <c r="S118" s="1"/>
      <c r="T118" s="1"/>
      <c r="U118" s="1"/>
      <c r="V118" s="1"/>
      <c r="W118" s="1"/>
      <c r="X118" s="1"/>
      <c r="Y118" s="279"/>
      <c r="Z118" s="279"/>
      <c r="AA118" s="279"/>
      <c r="AB118" s="279"/>
      <c r="AC118" s="279"/>
      <c r="AD118" s="279"/>
      <c r="AE118" s="279"/>
      <c r="AF118" s="279"/>
      <c r="AG118" s="279"/>
      <c r="AH118" s="279"/>
      <c r="AI118" s="1"/>
      <c r="AJ118" s="1"/>
      <c r="AK118" s="1"/>
      <c r="AL118" s="1"/>
      <c r="AM118" s="1"/>
      <c r="AN118" s="1"/>
      <c r="AO118" s="1"/>
      <c r="AP118" s="1"/>
      <c r="AQ118" s="1"/>
      <c r="AR118" s="1"/>
      <c r="AS118" s="1"/>
      <c r="AT118" s="1"/>
      <c r="AU118" s="1"/>
      <c r="AV118" s="1"/>
      <c r="AW118" s="1"/>
      <c r="AX118" s="1"/>
      <c r="AY118" s="1"/>
      <c r="AZ118" s="1"/>
      <c r="BA118" s="1"/>
    </row>
    <row r="119" spans="2:53" x14ac:dyDescent="0.3">
      <c r="B119" s="279"/>
      <c r="C119" s="1"/>
      <c r="D119" s="1"/>
      <c r="E119" s="1"/>
      <c r="F119" s="1"/>
      <c r="G119" s="1"/>
      <c r="H119" s="1"/>
      <c r="I119" s="1"/>
      <c r="J119" s="1"/>
      <c r="K119" s="1"/>
      <c r="L119" s="1"/>
      <c r="M119" s="279"/>
      <c r="N119" s="279"/>
      <c r="O119" s="279"/>
      <c r="P119" s="279"/>
      <c r="Q119" s="1"/>
      <c r="R119" s="1"/>
      <c r="S119" s="1"/>
      <c r="T119" s="1"/>
      <c r="U119" s="1"/>
      <c r="V119" s="1"/>
      <c r="W119" s="1"/>
      <c r="X119" s="1"/>
      <c r="Y119" s="279"/>
      <c r="Z119" s="279"/>
      <c r="AA119" s="279"/>
      <c r="AB119" s="279"/>
      <c r="AC119" s="279"/>
      <c r="AD119" s="279"/>
      <c r="AE119" s="279"/>
      <c r="AF119" s="279"/>
      <c r="AG119" s="279"/>
      <c r="AH119" s="279"/>
      <c r="AI119" s="1"/>
      <c r="AJ119" s="1"/>
      <c r="AK119" s="1"/>
      <c r="AL119" s="1"/>
      <c r="AM119" s="1"/>
      <c r="AN119" s="1"/>
      <c r="AO119" s="1"/>
      <c r="AP119" s="1"/>
      <c r="AQ119" s="1"/>
      <c r="AR119" s="1"/>
      <c r="AS119" s="1"/>
      <c r="AT119" s="1"/>
      <c r="AU119" s="1"/>
      <c r="AV119" s="1"/>
      <c r="AW119" s="1"/>
      <c r="AX119" s="1"/>
      <c r="AY119" s="1"/>
      <c r="AZ119" s="1"/>
      <c r="BA119" s="1"/>
    </row>
    <row r="120" spans="2:53" x14ac:dyDescent="0.3">
      <c r="B120" s="279"/>
      <c r="C120" s="1"/>
      <c r="D120" s="1"/>
      <c r="E120" s="1"/>
      <c r="F120" s="1"/>
      <c r="G120" s="1"/>
      <c r="H120" s="1"/>
      <c r="I120" s="1"/>
      <c r="J120" s="1"/>
      <c r="K120" s="1"/>
      <c r="L120" s="1"/>
      <c r="M120" s="279"/>
      <c r="N120" s="279"/>
      <c r="O120" s="279"/>
      <c r="P120" s="279"/>
      <c r="Q120" s="1"/>
      <c r="R120" s="1"/>
      <c r="S120" s="1"/>
      <c r="T120" s="1"/>
      <c r="U120" s="1"/>
      <c r="V120" s="1"/>
      <c r="W120" s="1"/>
      <c r="X120" s="1"/>
      <c r="Y120" s="279"/>
      <c r="Z120" s="279"/>
      <c r="AA120" s="279"/>
      <c r="AB120" s="279"/>
      <c r="AC120" s="279"/>
      <c r="AD120" s="279"/>
      <c r="AE120" s="279"/>
      <c r="AF120" s="279"/>
      <c r="AG120" s="279"/>
      <c r="AH120" s="279"/>
      <c r="AI120" s="1"/>
      <c r="AJ120" s="1"/>
      <c r="AK120" s="1"/>
      <c r="AL120" s="1"/>
      <c r="AM120" s="1"/>
      <c r="AN120" s="1"/>
      <c r="AO120" s="1"/>
      <c r="AP120" s="1"/>
      <c r="AQ120" s="1"/>
      <c r="AR120" s="1"/>
      <c r="AS120" s="1"/>
      <c r="AT120" s="1"/>
      <c r="AU120" s="1"/>
      <c r="AV120" s="1"/>
      <c r="AW120" s="1"/>
      <c r="AX120" s="1"/>
      <c r="AY120" s="1"/>
      <c r="AZ120" s="1"/>
      <c r="BA120" s="1"/>
    </row>
    <row r="121" spans="2:53" x14ac:dyDescent="0.3">
      <c r="B121" s="279"/>
      <c r="C121" s="1"/>
      <c r="D121" s="1"/>
      <c r="E121" s="1"/>
      <c r="F121" s="1"/>
      <c r="G121" s="1"/>
      <c r="H121" s="1"/>
      <c r="I121" s="1"/>
      <c r="J121" s="1"/>
      <c r="K121" s="1"/>
      <c r="L121" s="1"/>
      <c r="M121" s="279"/>
      <c r="N121" s="279"/>
      <c r="O121" s="279"/>
      <c r="P121" s="279"/>
      <c r="Q121" s="1"/>
      <c r="R121" s="1"/>
      <c r="S121" s="1"/>
      <c r="T121" s="1"/>
      <c r="U121" s="1"/>
      <c r="V121" s="1"/>
      <c r="W121" s="1"/>
      <c r="X121" s="1"/>
      <c r="Y121" s="279"/>
      <c r="Z121" s="279"/>
      <c r="AA121" s="279"/>
      <c r="AB121" s="279"/>
      <c r="AC121" s="279"/>
      <c r="AD121" s="279"/>
      <c r="AE121" s="279"/>
      <c r="AF121" s="279"/>
      <c r="AG121" s="279"/>
      <c r="AH121" s="279"/>
      <c r="AI121" s="1"/>
      <c r="AJ121" s="1"/>
      <c r="AK121" s="1"/>
      <c r="AL121" s="1"/>
      <c r="AM121" s="1"/>
      <c r="AN121" s="1"/>
      <c r="AO121" s="1"/>
      <c r="AP121" s="1"/>
      <c r="AQ121" s="1"/>
      <c r="AR121" s="1"/>
      <c r="AS121" s="1"/>
      <c r="AT121" s="1"/>
      <c r="AU121" s="1"/>
      <c r="AV121" s="1"/>
      <c r="AW121" s="1"/>
      <c r="AX121" s="1"/>
      <c r="AY121" s="1"/>
      <c r="AZ121" s="1"/>
      <c r="BA121" s="1"/>
    </row>
    <row r="122" spans="2:53" x14ac:dyDescent="0.3">
      <c r="B122" s="279"/>
      <c r="C122" s="1"/>
      <c r="D122" s="1"/>
      <c r="E122" s="1"/>
      <c r="F122" s="1"/>
      <c r="G122" s="1"/>
      <c r="H122" s="1"/>
      <c r="I122" s="1"/>
      <c r="J122" s="1"/>
      <c r="K122" s="1"/>
      <c r="L122" s="1"/>
      <c r="M122" s="279"/>
      <c r="N122" s="279"/>
      <c r="O122" s="279"/>
      <c r="P122" s="279"/>
      <c r="Q122" s="1"/>
      <c r="R122" s="1"/>
      <c r="S122" s="1"/>
      <c r="T122" s="1"/>
      <c r="U122" s="1"/>
      <c r="V122" s="1"/>
      <c r="W122" s="1"/>
      <c r="X122" s="1"/>
      <c r="Y122" s="279"/>
      <c r="Z122" s="279"/>
      <c r="AA122" s="279"/>
      <c r="AB122" s="279"/>
      <c r="AC122" s="279"/>
      <c r="AD122" s="279"/>
      <c r="AE122" s="279"/>
      <c r="AF122" s="279"/>
      <c r="AG122" s="279"/>
      <c r="AH122" s="279"/>
      <c r="AI122" s="1"/>
      <c r="AJ122" s="1"/>
      <c r="AK122" s="1"/>
      <c r="AL122" s="1"/>
      <c r="AM122" s="1"/>
      <c r="AN122" s="1"/>
      <c r="AO122" s="1"/>
      <c r="AP122" s="1"/>
      <c r="AQ122" s="1"/>
      <c r="AR122" s="1"/>
      <c r="AS122" s="1"/>
      <c r="AT122" s="1"/>
      <c r="AU122" s="1"/>
      <c r="AV122" s="1"/>
      <c r="AW122" s="1"/>
      <c r="AX122" s="1"/>
      <c r="AY122" s="1"/>
      <c r="AZ122" s="1"/>
      <c r="BA122" s="1"/>
    </row>
    <row r="123" spans="2:53" x14ac:dyDescent="0.3">
      <c r="B123" s="279"/>
      <c r="C123" s="1"/>
      <c r="D123" s="1"/>
      <c r="E123" s="1"/>
      <c r="F123" s="1"/>
      <c r="G123" s="1"/>
      <c r="H123" s="1"/>
      <c r="I123" s="1"/>
      <c r="J123" s="1"/>
      <c r="K123" s="1"/>
      <c r="L123" s="1"/>
      <c r="M123" s="279"/>
      <c r="N123" s="279"/>
      <c r="O123" s="279"/>
      <c r="P123" s="279"/>
      <c r="Q123" s="1"/>
      <c r="R123" s="1"/>
      <c r="S123" s="1"/>
      <c r="T123" s="1"/>
      <c r="U123" s="1"/>
      <c r="V123" s="1"/>
      <c r="W123" s="1"/>
      <c r="X123" s="1"/>
      <c r="Y123" s="279"/>
      <c r="Z123" s="279"/>
      <c r="AA123" s="279"/>
      <c r="AB123" s="279"/>
      <c r="AC123" s="279"/>
      <c r="AD123" s="279"/>
      <c r="AE123" s="279"/>
      <c r="AF123" s="279"/>
      <c r="AG123" s="279"/>
      <c r="AH123" s="279"/>
      <c r="AI123" s="1"/>
      <c r="AJ123" s="1"/>
      <c r="AK123" s="1"/>
      <c r="AL123" s="1"/>
      <c r="AM123" s="1"/>
      <c r="AN123" s="1"/>
      <c r="AO123" s="1"/>
      <c r="AP123" s="1"/>
      <c r="AQ123" s="1"/>
      <c r="AR123" s="1"/>
      <c r="AS123" s="1"/>
      <c r="AT123" s="1"/>
      <c r="AU123" s="1"/>
      <c r="AV123" s="1"/>
      <c r="AW123" s="1"/>
      <c r="AX123" s="1"/>
      <c r="AY123" s="1"/>
      <c r="AZ123" s="1"/>
      <c r="BA123" s="1"/>
    </row>
    <row r="124" spans="2:53" x14ac:dyDescent="0.3">
      <c r="B124" s="279"/>
      <c r="C124" s="1"/>
      <c r="D124" s="1"/>
      <c r="E124" s="1"/>
      <c r="F124" s="1"/>
      <c r="G124" s="1"/>
      <c r="H124" s="1"/>
      <c r="I124" s="1"/>
      <c r="J124" s="1"/>
      <c r="K124" s="1"/>
      <c r="L124" s="1"/>
      <c r="M124" s="279"/>
      <c r="N124" s="279"/>
      <c r="O124" s="279"/>
      <c r="P124" s="279"/>
      <c r="Q124" s="1"/>
      <c r="R124" s="1"/>
      <c r="S124" s="1"/>
      <c r="T124" s="1"/>
      <c r="U124" s="1"/>
      <c r="V124" s="1"/>
      <c r="W124" s="1"/>
      <c r="X124" s="1"/>
      <c r="Y124" s="279"/>
      <c r="Z124" s="279"/>
      <c r="AA124" s="279"/>
      <c r="AB124" s="279"/>
      <c r="AC124" s="279"/>
      <c r="AD124" s="279"/>
      <c r="AE124" s="279"/>
      <c r="AF124" s="279"/>
      <c r="AG124" s="279"/>
      <c r="AH124" s="279"/>
      <c r="AI124" s="1"/>
      <c r="AJ124" s="1"/>
      <c r="AK124" s="1"/>
      <c r="AL124" s="1"/>
      <c r="AM124" s="1"/>
      <c r="AN124" s="1"/>
      <c r="AO124" s="1"/>
      <c r="AP124" s="1"/>
      <c r="AQ124" s="1"/>
      <c r="AR124" s="1"/>
      <c r="AS124" s="1"/>
      <c r="AT124" s="1"/>
      <c r="AU124" s="1"/>
      <c r="AV124" s="1"/>
      <c r="AW124" s="1"/>
      <c r="AX124" s="1"/>
      <c r="AY124" s="1"/>
      <c r="AZ124" s="1"/>
      <c r="BA124" s="1"/>
    </row>
    <row r="125" spans="2:53" x14ac:dyDescent="0.3">
      <c r="B125" s="279"/>
      <c r="C125" s="1"/>
      <c r="D125" s="1"/>
      <c r="E125" s="1"/>
      <c r="F125" s="1"/>
      <c r="G125" s="1"/>
      <c r="H125" s="1"/>
      <c r="I125" s="1"/>
      <c r="J125" s="1"/>
      <c r="K125" s="1"/>
      <c r="L125" s="1"/>
      <c r="M125" s="279"/>
      <c r="N125" s="279"/>
      <c r="O125" s="279"/>
      <c r="P125" s="279"/>
      <c r="Q125" s="1"/>
      <c r="R125" s="1"/>
      <c r="S125" s="1"/>
      <c r="T125" s="1"/>
      <c r="U125" s="1"/>
      <c r="V125" s="1"/>
      <c r="W125" s="1"/>
      <c r="X125" s="1"/>
      <c r="Y125" s="279"/>
      <c r="Z125" s="279"/>
      <c r="AA125" s="279"/>
      <c r="AB125" s="279"/>
      <c r="AC125" s="279"/>
      <c r="AD125" s="279"/>
      <c r="AE125" s="279"/>
      <c r="AF125" s="279"/>
      <c r="AG125" s="279"/>
      <c r="AH125" s="279"/>
      <c r="AI125" s="1"/>
      <c r="AJ125" s="1"/>
      <c r="AK125" s="1"/>
      <c r="AL125" s="1"/>
      <c r="AM125" s="1"/>
      <c r="AN125" s="1"/>
      <c r="AO125" s="1"/>
      <c r="AP125" s="1"/>
      <c r="AQ125" s="1"/>
      <c r="AR125" s="1"/>
      <c r="AS125" s="1"/>
      <c r="AT125" s="1"/>
      <c r="AU125" s="1"/>
      <c r="AV125" s="1"/>
      <c r="AW125" s="1"/>
      <c r="AX125" s="1"/>
      <c r="AY125" s="1"/>
      <c r="AZ125" s="1"/>
      <c r="BA125" s="1"/>
    </row>
    <row r="126" spans="2:53" x14ac:dyDescent="0.3">
      <c r="B126" s="279"/>
      <c r="C126" s="1"/>
      <c r="D126" s="1"/>
      <c r="E126" s="1"/>
      <c r="F126" s="1"/>
      <c r="G126" s="1"/>
      <c r="H126" s="1"/>
      <c r="I126" s="1"/>
      <c r="J126" s="1"/>
      <c r="K126" s="1"/>
      <c r="L126" s="1"/>
      <c r="M126" s="279"/>
      <c r="N126" s="279"/>
      <c r="O126" s="279"/>
      <c r="P126" s="279"/>
      <c r="Q126" s="1"/>
      <c r="R126" s="1"/>
      <c r="S126" s="1"/>
      <c r="T126" s="1"/>
      <c r="U126" s="1"/>
      <c r="V126" s="1"/>
      <c r="W126" s="1"/>
      <c r="X126" s="1"/>
      <c r="Y126" s="279"/>
      <c r="Z126" s="279"/>
      <c r="AA126" s="279"/>
      <c r="AB126" s="279"/>
      <c r="AC126" s="279"/>
      <c r="AD126" s="279"/>
      <c r="AE126" s="279"/>
      <c r="AF126" s="279"/>
      <c r="AG126" s="279"/>
      <c r="AH126" s="279"/>
      <c r="AI126" s="1"/>
      <c r="AJ126" s="1"/>
      <c r="AK126" s="1"/>
      <c r="AL126" s="1"/>
      <c r="AM126" s="1"/>
      <c r="AN126" s="1"/>
      <c r="AO126" s="1"/>
      <c r="AP126" s="1"/>
      <c r="AQ126" s="1"/>
      <c r="AR126" s="1"/>
      <c r="AS126" s="1"/>
      <c r="AT126" s="1"/>
      <c r="AU126" s="1"/>
      <c r="AV126" s="1"/>
      <c r="AW126" s="1"/>
      <c r="AX126" s="1"/>
      <c r="AY126" s="1"/>
      <c r="AZ126" s="1"/>
      <c r="BA126" s="1"/>
    </row>
    <row r="127" spans="2:53" x14ac:dyDescent="0.3">
      <c r="B127" s="279"/>
      <c r="C127" s="1"/>
      <c r="D127" s="1"/>
      <c r="E127" s="1"/>
      <c r="F127" s="1"/>
      <c r="G127" s="1"/>
      <c r="H127" s="1"/>
      <c r="I127" s="1"/>
      <c r="J127" s="1"/>
      <c r="K127" s="1"/>
      <c r="L127" s="1"/>
      <c r="M127" s="279"/>
      <c r="N127" s="279"/>
      <c r="O127" s="279"/>
      <c r="P127" s="279"/>
      <c r="Q127" s="1"/>
      <c r="R127" s="1"/>
      <c r="S127" s="1"/>
      <c r="T127" s="1"/>
      <c r="U127" s="1"/>
      <c r="V127" s="1"/>
      <c r="W127" s="1"/>
      <c r="X127" s="1"/>
      <c r="Y127" s="279"/>
      <c r="Z127" s="279"/>
      <c r="AA127" s="279"/>
      <c r="AB127" s="279"/>
      <c r="AC127" s="279"/>
      <c r="AD127" s="279"/>
      <c r="AE127" s="279"/>
      <c r="AF127" s="279"/>
      <c r="AG127" s="279"/>
      <c r="AH127" s="279"/>
      <c r="AI127" s="1"/>
      <c r="AJ127" s="1"/>
      <c r="AK127" s="1"/>
      <c r="AL127" s="1"/>
      <c r="AM127" s="1"/>
      <c r="AN127" s="1"/>
      <c r="AO127" s="1"/>
      <c r="AP127" s="1"/>
      <c r="AQ127" s="1"/>
      <c r="AR127" s="1"/>
      <c r="AS127" s="1"/>
      <c r="AT127" s="1"/>
      <c r="AU127" s="1"/>
      <c r="AV127" s="1"/>
      <c r="AW127" s="1"/>
      <c r="AX127" s="1"/>
      <c r="AY127" s="1"/>
      <c r="AZ127" s="1"/>
      <c r="BA127" s="1"/>
    </row>
    <row r="128" spans="2:53" x14ac:dyDescent="0.3">
      <c r="B128" s="279"/>
      <c r="C128" s="1"/>
      <c r="D128" s="1"/>
      <c r="E128" s="1"/>
      <c r="F128" s="1"/>
      <c r="G128" s="1"/>
      <c r="H128" s="1"/>
      <c r="I128" s="1"/>
      <c r="J128" s="1"/>
      <c r="K128" s="1"/>
      <c r="L128" s="1"/>
      <c r="M128" s="279"/>
      <c r="N128" s="279"/>
      <c r="O128" s="279"/>
      <c r="P128" s="279"/>
      <c r="Q128" s="1"/>
      <c r="R128" s="1"/>
      <c r="S128" s="1"/>
      <c r="T128" s="1"/>
      <c r="U128" s="1"/>
      <c r="V128" s="1"/>
      <c r="W128" s="1"/>
      <c r="X128" s="1"/>
      <c r="Y128" s="279"/>
      <c r="Z128" s="279"/>
      <c r="AA128" s="279"/>
      <c r="AB128" s="279"/>
      <c r="AC128" s="279"/>
      <c r="AD128" s="279"/>
      <c r="AE128" s="279"/>
      <c r="AF128" s="279"/>
      <c r="AG128" s="279"/>
      <c r="AH128" s="279"/>
      <c r="AI128" s="1"/>
      <c r="AJ128" s="1"/>
      <c r="AK128" s="1"/>
      <c r="AL128" s="1"/>
      <c r="AM128" s="1"/>
      <c r="AN128" s="1"/>
      <c r="AO128" s="1"/>
      <c r="AP128" s="1"/>
      <c r="AQ128" s="1"/>
      <c r="AR128" s="1"/>
      <c r="AS128" s="1"/>
      <c r="AT128" s="1"/>
      <c r="AU128" s="1"/>
      <c r="AV128" s="1"/>
      <c r="AW128" s="1"/>
      <c r="AX128" s="1"/>
      <c r="AY128" s="1"/>
      <c r="AZ128" s="1"/>
      <c r="BA128" s="1"/>
    </row>
    <row r="129" spans="2:53" x14ac:dyDescent="0.3">
      <c r="B129" s="279"/>
      <c r="C129" s="1"/>
      <c r="D129" s="1"/>
      <c r="E129" s="1"/>
      <c r="F129" s="1"/>
      <c r="G129" s="1"/>
      <c r="H129" s="1"/>
      <c r="I129" s="1"/>
      <c r="J129" s="1"/>
      <c r="K129" s="1"/>
      <c r="L129" s="1"/>
      <c r="M129" s="279"/>
      <c r="N129" s="279"/>
      <c r="O129" s="279"/>
      <c r="P129" s="279"/>
      <c r="Q129" s="1"/>
      <c r="R129" s="1"/>
      <c r="S129" s="1"/>
      <c r="T129" s="1"/>
      <c r="U129" s="1"/>
      <c r="V129" s="1"/>
      <c r="W129" s="1"/>
      <c r="X129" s="1"/>
      <c r="Y129" s="279"/>
      <c r="Z129" s="279"/>
      <c r="AA129" s="279"/>
      <c r="AB129" s="279"/>
      <c r="AC129" s="279"/>
      <c r="AD129" s="279"/>
      <c r="AE129" s="279"/>
      <c r="AF129" s="279"/>
      <c r="AG129" s="279"/>
      <c r="AH129" s="279"/>
      <c r="AI129" s="1"/>
      <c r="AJ129" s="1"/>
      <c r="AK129" s="1"/>
      <c r="AL129" s="1"/>
      <c r="AM129" s="1"/>
      <c r="AN129" s="1"/>
      <c r="AO129" s="1"/>
      <c r="AP129" s="1"/>
      <c r="AQ129" s="1"/>
      <c r="AR129" s="1"/>
      <c r="AS129" s="1"/>
      <c r="AT129" s="1"/>
      <c r="AU129" s="1"/>
      <c r="AV129" s="1"/>
      <c r="AW129" s="1"/>
      <c r="AX129" s="1"/>
      <c r="AY129" s="1"/>
      <c r="AZ129" s="1"/>
      <c r="BA129" s="1"/>
    </row>
    <row r="130" spans="2:53" x14ac:dyDescent="0.3">
      <c r="B130" s="279"/>
      <c r="C130" s="1"/>
      <c r="D130" s="1"/>
      <c r="E130" s="1"/>
      <c r="F130" s="1"/>
      <c r="G130" s="1"/>
      <c r="H130" s="1"/>
      <c r="I130" s="1"/>
      <c r="J130" s="1"/>
      <c r="K130" s="1"/>
      <c r="L130" s="1"/>
      <c r="M130" s="279"/>
      <c r="N130" s="279"/>
      <c r="O130" s="279"/>
      <c r="P130" s="279"/>
      <c r="Q130" s="1"/>
      <c r="R130" s="1"/>
      <c r="S130" s="1"/>
      <c r="T130" s="1"/>
      <c r="U130" s="1"/>
      <c r="V130" s="1"/>
      <c r="W130" s="1"/>
      <c r="X130" s="1"/>
      <c r="Y130" s="279"/>
      <c r="Z130" s="279"/>
      <c r="AA130" s="279"/>
      <c r="AB130" s="279"/>
      <c r="AC130" s="279"/>
      <c r="AD130" s="279"/>
      <c r="AE130" s="279"/>
      <c r="AF130" s="279"/>
      <c r="AG130" s="279"/>
      <c r="AH130" s="279"/>
      <c r="AI130" s="1"/>
      <c r="AJ130" s="1"/>
      <c r="AK130" s="1"/>
      <c r="AL130" s="1"/>
      <c r="AM130" s="1"/>
      <c r="AN130" s="1"/>
      <c r="AO130" s="1"/>
      <c r="AP130" s="1"/>
      <c r="AQ130" s="1"/>
      <c r="AR130" s="1"/>
      <c r="AS130" s="1"/>
      <c r="AT130" s="1"/>
      <c r="AU130" s="1"/>
      <c r="AV130" s="1"/>
      <c r="AW130" s="1"/>
      <c r="AX130" s="1"/>
      <c r="AY130" s="1"/>
      <c r="AZ130" s="1"/>
      <c r="BA130" s="1"/>
    </row>
    <row r="131" spans="2:53" x14ac:dyDescent="0.3">
      <c r="B131" s="279"/>
      <c r="C131" s="1"/>
      <c r="D131" s="1"/>
      <c r="E131" s="1"/>
      <c r="F131" s="1"/>
      <c r="G131" s="1"/>
      <c r="H131" s="1"/>
      <c r="I131" s="1"/>
      <c r="J131" s="1"/>
      <c r="K131" s="1"/>
      <c r="L131" s="1"/>
      <c r="M131" s="279"/>
      <c r="N131" s="279"/>
      <c r="O131" s="279"/>
      <c r="P131" s="279"/>
      <c r="Q131" s="1"/>
      <c r="R131" s="1"/>
      <c r="S131" s="1"/>
      <c r="T131" s="1"/>
      <c r="U131" s="1"/>
      <c r="V131" s="1"/>
      <c r="W131" s="1"/>
      <c r="X131" s="1"/>
      <c r="Y131" s="279"/>
      <c r="Z131" s="279"/>
      <c r="AA131" s="279"/>
      <c r="AB131" s="279"/>
      <c r="AC131" s="279"/>
      <c r="AD131" s="279"/>
      <c r="AE131" s="279"/>
      <c r="AF131" s="279"/>
      <c r="AG131" s="279"/>
      <c r="AH131" s="279"/>
      <c r="AI131" s="1"/>
      <c r="AJ131" s="1"/>
      <c r="AK131" s="1"/>
      <c r="AL131" s="1"/>
      <c r="AM131" s="1"/>
      <c r="AN131" s="1"/>
      <c r="AO131" s="1"/>
      <c r="AP131" s="1"/>
      <c r="AQ131" s="1"/>
      <c r="AR131" s="1"/>
      <c r="AS131" s="1"/>
      <c r="AT131" s="1"/>
      <c r="AU131" s="1"/>
      <c r="AV131" s="1"/>
      <c r="AW131" s="1"/>
      <c r="AX131" s="1"/>
      <c r="AY131" s="1"/>
      <c r="AZ131" s="1"/>
      <c r="BA131" s="1"/>
    </row>
    <row r="132" spans="2:53" x14ac:dyDescent="0.3">
      <c r="B132" s="279"/>
      <c r="C132" s="1"/>
      <c r="D132" s="1"/>
      <c r="E132" s="1"/>
      <c r="F132" s="1"/>
      <c r="G132" s="1"/>
      <c r="H132" s="1"/>
      <c r="I132" s="1"/>
      <c r="J132" s="1"/>
      <c r="K132" s="1"/>
      <c r="L132" s="1"/>
      <c r="M132" s="279"/>
      <c r="N132" s="279"/>
      <c r="O132" s="279"/>
      <c r="P132" s="279"/>
      <c r="Q132" s="1"/>
      <c r="R132" s="1"/>
      <c r="S132" s="1"/>
      <c r="T132" s="1"/>
      <c r="U132" s="1"/>
      <c r="V132" s="1"/>
      <c r="W132" s="1"/>
      <c r="X132" s="1"/>
      <c r="Y132" s="279"/>
      <c r="Z132" s="279"/>
      <c r="AA132" s="279"/>
      <c r="AB132" s="279"/>
      <c r="AC132" s="279"/>
      <c r="AD132" s="279"/>
      <c r="AE132" s="279"/>
      <c r="AF132" s="279"/>
      <c r="AG132" s="279"/>
      <c r="AH132" s="279"/>
      <c r="AI132" s="1"/>
      <c r="AJ132" s="1"/>
      <c r="AK132" s="1"/>
      <c r="AL132" s="1"/>
      <c r="AM132" s="1"/>
      <c r="AN132" s="1"/>
      <c r="AO132" s="1"/>
      <c r="AP132" s="1"/>
      <c r="AQ132" s="1"/>
      <c r="AR132" s="1"/>
      <c r="AS132" s="1"/>
      <c r="AT132" s="1"/>
      <c r="AU132" s="1"/>
      <c r="AV132" s="1"/>
      <c r="AW132" s="1"/>
      <c r="AX132" s="1"/>
      <c r="AY132" s="1"/>
      <c r="AZ132" s="1"/>
      <c r="BA132" s="1"/>
    </row>
    <row r="133" spans="2:53" x14ac:dyDescent="0.3">
      <c r="B133" s="279"/>
      <c r="C133" s="1"/>
      <c r="D133" s="1"/>
      <c r="E133" s="1"/>
      <c r="F133" s="1"/>
      <c r="G133" s="1"/>
      <c r="H133" s="1"/>
      <c r="I133" s="1"/>
      <c r="J133" s="1"/>
      <c r="K133" s="1"/>
      <c r="L133" s="1"/>
      <c r="M133" s="279"/>
      <c r="N133" s="279"/>
      <c r="O133" s="279"/>
      <c r="P133" s="279"/>
      <c r="Q133" s="1"/>
      <c r="R133" s="1"/>
      <c r="S133" s="1"/>
      <c r="T133" s="1"/>
      <c r="U133" s="1"/>
      <c r="V133" s="1"/>
      <c r="W133" s="1"/>
      <c r="X133" s="1"/>
      <c r="Y133" s="279"/>
      <c r="Z133" s="279"/>
      <c r="AA133" s="279"/>
      <c r="AB133" s="279"/>
      <c r="AC133" s="279"/>
      <c r="AD133" s="279"/>
      <c r="AE133" s="279"/>
      <c r="AF133" s="279"/>
      <c r="AG133" s="279"/>
      <c r="AH133" s="279"/>
      <c r="AI133" s="1"/>
      <c r="AJ133" s="1"/>
      <c r="AK133" s="1"/>
      <c r="AL133" s="1"/>
      <c r="AM133" s="1"/>
      <c r="AN133" s="1"/>
      <c r="AO133" s="1"/>
      <c r="AP133" s="1"/>
      <c r="AQ133" s="1"/>
      <c r="AR133" s="1"/>
      <c r="AS133" s="1"/>
      <c r="AT133" s="1"/>
      <c r="AU133" s="1"/>
      <c r="AV133" s="1"/>
      <c r="AW133" s="1"/>
      <c r="AX133" s="1"/>
      <c r="AY133" s="1"/>
      <c r="AZ133" s="1"/>
      <c r="BA133" s="1"/>
    </row>
    <row r="134" spans="2:53" x14ac:dyDescent="0.3">
      <c r="B134" s="279"/>
      <c r="C134" s="1"/>
      <c r="D134" s="1"/>
      <c r="E134" s="1"/>
      <c r="F134" s="1"/>
      <c r="G134" s="1"/>
      <c r="H134" s="1"/>
      <c r="I134" s="1"/>
      <c r="J134" s="1"/>
      <c r="K134" s="1"/>
      <c r="L134" s="1"/>
      <c r="M134" s="279"/>
      <c r="N134" s="279"/>
      <c r="O134" s="279"/>
      <c r="P134" s="279"/>
      <c r="Q134" s="1"/>
      <c r="R134" s="1"/>
      <c r="S134" s="1"/>
      <c r="T134" s="1"/>
      <c r="U134" s="1"/>
      <c r="V134" s="1"/>
      <c r="W134" s="1"/>
      <c r="X134" s="1"/>
      <c r="Y134" s="279"/>
      <c r="Z134" s="279"/>
      <c r="AA134" s="279"/>
      <c r="AB134" s="279"/>
      <c r="AC134" s="279"/>
      <c r="AD134" s="279"/>
      <c r="AE134" s="279"/>
      <c r="AF134" s="279"/>
      <c r="AG134" s="279"/>
      <c r="AH134" s="279"/>
      <c r="AI134" s="1"/>
      <c r="AJ134" s="1"/>
      <c r="AK134" s="1"/>
      <c r="AL134" s="1"/>
      <c r="AM134" s="1"/>
      <c r="AN134" s="1"/>
      <c r="AO134" s="1"/>
      <c r="AP134" s="1"/>
      <c r="AQ134" s="1"/>
      <c r="AR134" s="1"/>
      <c r="AS134" s="1"/>
      <c r="AT134" s="1"/>
      <c r="AU134" s="1"/>
      <c r="AV134" s="1"/>
      <c r="AW134" s="1"/>
      <c r="AX134" s="1"/>
      <c r="AY134" s="1"/>
      <c r="AZ134" s="1"/>
      <c r="BA134" s="1"/>
    </row>
    <row r="135" spans="2:53" x14ac:dyDescent="0.3">
      <c r="B135" s="279"/>
      <c r="C135" s="1"/>
      <c r="D135" s="1"/>
      <c r="E135" s="1"/>
      <c r="F135" s="1"/>
      <c r="G135" s="1"/>
      <c r="H135" s="1"/>
      <c r="I135" s="1"/>
      <c r="J135" s="1"/>
      <c r="K135" s="1"/>
      <c r="L135" s="1"/>
      <c r="M135" s="279"/>
      <c r="N135" s="279"/>
      <c r="O135" s="279"/>
      <c r="P135" s="279"/>
      <c r="Q135" s="1"/>
      <c r="R135" s="1"/>
      <c r="S135" s="1"/>
      <c r="T135" s="1"/>
      <c r="U135" s="1"/>
      <c r="V135" s="1"/>
      <c r="W135" s="1"/>
      <c r="X135" s="1"/>
      <c r="Y135" s="279"/>
      <c r="Z135" s="279"/>
      <c r="AA135" s="279"/>
      <c r="AB135" s="279"/>
      <c r="AC135" s="279"/>
      <c r="AD135" s="279"/>
      <c r="AE135" s="279"/>
      <c r="AF135" s="279"/>
      <c r="AG135" s="279"/>
      <c r="AH135" s="279"/>
      <c r="AI135" s="1"/>
      <c r="AJ135" s="1"/>
      <c r="AK135" s="1"/>
      <c r="AL135" s="1"/>
      <c r="AM135" s="1"/>
      <c r="AN135" s="1"/>
      <c r="AO135" s="1"/>
      <c r="AP135" s="1"/>
      <c r="AQ135" s="1"/>
      <c r="AR135" s="1"/>
      <c r="AS135" s="1"/>
      <c r="AT135" s="1"/>
      <c r="AU135" s="1"/>
      <c r="AV135" s="1"/>
      <c r="AW135" s="1"/>
      <c r="AX135" s="1"/>
      <c r="AY135" s="1"/>
      <c r="AZ135" s="1"/>
      <c r="BA135" s="1"/>
    </row>
    <row r="136" spans="2:53" x14ac:dyDescent="0.3">
      <c r="B136" s="279"/>
      <c r="C136" s="1"/>
      <c r="D136" s="1"/>
      <c r="E136" s="1"/>
      <c r="F136" s="1"/>
      <c r="G136" s="1"/>
      <c r="H136" s="1"/>
      <c r="I136" s="1"/>
      <c r="J136" s="1"/>
      <c r="K136" s="1"/>
      <c r="L136" s="1"/>
      <c r="M136" s="279"/>
      <c r="N136" s="279"/>
      <c r="O136" s="279"/>
      <c r="P136" s="279"/>
      <c r="Q136" s="1"/>
      <c r="R136" s="1"/>
      <c r="S136" s="1"/>
      <c r="T136" s="1"/>
      <c r="U136" s="1"/>
      <c r="V136" s="1"/>
      <c r="W136" s="1"/>
      <c r="X136" s="1"/>
      <c r="Y136" s="279"/>
      <c r="Z136" s="279"/>
      <c r="AA136" s="279"/>
      <c r="AB136" s="279"/>
      <c r="AC136" s="279"/>
      <c r="AD136" s="279"/>
      <c r="AE136" s="279"/>
      <c r="AF136" s="279"/>
      <c r="AG136" s="279"/>
      <c r="AH136" s="279"/>
      <c r="AI136" s="1"/>
      <c r="AJ136" s="1"/>
      <c r="AK136" s="1"/>
      <c r="AL136" s="1"/>
      <c r="AM136" s="1"/>
      <c r="AN136" s="1"/>
      <c r="AO136" s="1"/>
      <c r="AP136" s="1"/>
      <c r="AQ136" s="1"/>
      <c r="AR136" s="1"/>
      <c r="AS136" s="1"/>
      <c r="AT136" s="1"/>
      <c r="AU136" s="1"/>
      <c r="AV136" s="1"/>
      <c r="AW136" s="1"/>
      <c r="AX136" s="1"/>
      <c r="AY136" s="1"/>
      <c r="AZ136" s="1"/>
      <c r="BA136" s="1"/>
    </row>
    <row r="137" spans="2:53" x14ac:dyDescent="0.3">
      <c r="B137" s="279"/>
      <c r="C137" s="1"/>
      <c r="D137" s="1"/>
      <c r="E137" s="1"/>
      <c r="F137" s="1"/>
      <c r="G137" s="1"/>
      <c r="H137" s="1"/>
      <c r="I137" s="1"/>
      <c r="J137" s="1"/>
      <c r="K137" s="1"/>
      <c r="L137" s="1"/>
      <c r="M137" s="279"/>
      <c r="N137" s="279"/>
      <c r="O137" s="279"/>
      <c r="P137" s="279"/>
      <c r="Q137" s="1"/>
      <c r="R137" s="1"/>
      <c r="S137" s="1"/>
      <c r="T137" s="1"/>
      <c r="U137" s="1"/>
      <c r="V137" s="1"/>
      <c r="W137" s="1"/>
      <c r="X137" s="1"/>
      <c r="Y137" s="279"/>
      <c r="Z137" s="279"/>
      <c r="AA137" s="279"/>
      <c r="AB137" s="279"/>
      <c r="AC137" s="279"/>
      <c r="AD137" s="279"/>
      <c r="AE137" s="279"/>
      <c r="AF137" s="279"/>
      <c r="AG137" s="279"/>
      <c r="AH137" s="279"/>
      <c r="AI137" s="1"/>
      <c r="AJ137" s="1"/>
      <c r="AK137" s="1"/>
      <c r="AL137" s="1"/>
      <c r="AM137" s="1"/>
      <c r="AN137" s="1"/>
      <c r="AO137" s="1"/>
      <c r="AP137" s="1"/>
      <c r="AQ137" s="1"/>
      <c r="AR137" s="1"/>
      <c r="AS137" s="1"/>
      <c r="AT137" s="1"/>
      <c r="AU137" s="1"/>
      <c r="AV137" s="1"/>
      <c r="AW137" s="1"/>
      <c r="AX137" s="1"/>
      <c r="AY137" s="1"/>
      <c r="AZ137" s="1"/>
      <c r="BA137" s="1"/>
    </row>
    <row r="138" spans="2:53" x14ac:dyDescent="0.3">
      <c r="B138" s="279"/>
      <c r="C138" s="1"/>
      <c r="D138" s="1"/>
      <c r="E138" s="1"/>
      <c r="F138" s="1"/>
      <c r="G138" s="1"/>
      <c r="H138" s="1"/>
      <c r="I138" s="1"/>
      <c r="J138" s="1"/>
      <c r="K138" s="1"/>
      <c r="L138" s="1"/>
      <c r="M138" s="279"/>
      <c r="N138" s="279"/>
      <c r="O138" s="279"/>
      <c r="P138" s="279"/>
      <c r="Q138" s="1"/>
      <c r="R138" s="1"/>
      <c r="S138" s="1"/>
      <c r="T138" s="1"/>
      <c r="U138" s="1"/>
      <c r="V138" s="1"/>
      <c r="W138" s="1"/>
      <c r="X138" s="1"/>
      <c r="Y138" s="279"/>
      <c r="Z138" s="279"/>
      <c r="AA138" s="279"/>
      <c r="AB138" s="279"/>
      <c r="AC138" s="279"/>
      <c r="AD138" s="279"/>
      <c r="AE138" s="279"/>
      <c r="AF138" s="279"/>
      <c r="AG138" s="279"/>
      <c r="AH138" s="279"/>
      <c r="AI138" s="1"/>
      <c r="AJ138" s="1"/>
      <c r="AK138" s="1"/>
      <c r="AL138" s="1"/>
      <c r="AM138" s="1"/>
      <c r="AN138" s="1"/>
      <c r="AO138" s="1"/>
      <c r="AP138" s="1"/>
      <c r="AQ138" s="1"/>
      <c r="AR138" s="1"/>
      <c r="AS138" s="1"/>
      <c r="AT138" s="1"/>
      <c r="AU138" s="1"/>
      <c r="AV138" s="1"/>
      <c r="AW138" s="1"/>
      <c r="AX138" s="1"/>
      <c r="AY138" s="1"/>
      <c r="AZ138" s="1"/>
      <c r="BA138" s="1"/>
    </row>
    <row r="139" spans="2:53" x14ac:dyDescent="0.3">
      <c r="B139" s="279"/>
      <c r="C139" s="1"/>
      <c r="D139" s="1"/>
      <c r="E139" s="1"/>
      <c r="F139" s="1"/>
      <c r="G139" s="1"/>
      <c r="H139" s="1"/>
      <c r="I139" s="1"/>
      <c r="J139" s="1"/>
      <c r="K139" s="1"/>
      <c r="L139" s="1"/>
      <c r="M139" s="279"/>
      <c r="N139" s="279"/>
      <c r="O139" s="279"/>
      <c r="P139" s="279"/>
      <c r="Q139" s="1"/>
      <c r="R139" s="1"/>
      <c r="S139" s="1"/>
      <c r="T139" s="1"/>
      <c r="U139" s="1"/>
      <c r="V139" s="1"/>
      <c r="W139" s="1"/>
      <c r="X139" s="1"/>
      <c r="Y139" s="279"/>
      <c r="Z139" s="279"/>
      <c r="AA139" s="279"/>
      <c r="AB139" s="279"/>
      <c r="AC139" s="279"/>
      <c r="AD139" s="279"/>
      <c r="AE139" s="279"/>
      <c r="AF139" s="279"/>
      <c r="AG139" s="279"/>
      <c r="AH139" s="279"/>
      <c r="AI139" s="1"/>
      <c r="AJ139" s="1"/>
      <c r="AK139" s="1"/>
      <c r="AL139" s="1"/>
      <c r="AM139" s="1"/>
      <c r="AN139" s="1"/>
      <c r="AO139" s="1"/>
      <c r="AP139" s="1"/>
      <c r="AQ139" s="1"/>
      <c r="AR139" s="1"/>
      <c r="AS139" s="1"/>
      <c r="AT139" s="1"/>
      <c r="AU139" s="1"/>
      <c r="AV139" s="1"/>
      <c r="AW139" s="1"/>
      <c r="AX139" s="1"/>
      <c r="AY139" s="1"/>
      <c r="AZ139" s="1"/>
      <c r="BA139" s="1"/>
    </row>
    <row r="140" spans="2:53" x14ac:dyDescent="0.3">
      <c r="B140" s="279"/>
      <c r="C140" s="1"/>
      <c r="D140" s="1"/>
      <c r="E140" s="1"/>
      <c r="F140" s="1"/>
      <c r="G140" s="1"/>
      <c r="H140" s="1"/>
      <c r="I140" s="1"/>
      <c r="J140" s="1"/>
      <c r="K140" s="1"/>
      <c r="L140" s="1"/>
      <c r="M140" s="279"/>
      <c r="N140" s="279"/>
      <c r="O140" s="279"/>
      <c r="P140" s="279"/>
      <c r="Q140" s="1"/>
      <c r="R140" s="1"/>
      <c r="S140" s="1"/>
      <c r="T140" s="1"/>
      <c r="U140" s="1"/>
      <c r="V140" s="1"/>
      <c r="W140" s="1"/>
      <c r="X140" s="1"/>
      <c r="Y140" s="279"/>
      <c r="Z140" s="279"/>
      <c r="AA140" s="279"/>
      <c r="AB140" s="279"/>
      <c r="AC140" s="279"/>
      <c r="AD140" s="279"/>
      <c r="AE140" s="279"/>
      <c r="AF140" s="279"/>
      <c r="AG140" s="279"/>
      <c r="AH140" s="279"/>
      <c r="AI140" s="1"/>
      <c r="AJ140" s="1"/>
      <c r="AK140" s="1"/>
      <c r="AL140" s="1"/>
      <c r="AM140" s="1"/>
      <c r="AN140" s="1"/>
      <c r="AO140" s="1"/>
      <c r="AP140" s="1"/>
      <c r="AQ140" s="1"/>
      <c r="AR140" s="1"/>
      <c r="AS140" s="1"/>
      <c r="AT140" s="1"/>
      <c r="AU140" s="1"/>
      <c r="AV140" s="1"/>
      <c r="AW140" s="1"/>
      <c r="AX140" s="1"/>
      <c r="AY140" s="1"/>
      <c r="AZ140" s="1"/>
      <c r="BA140" s="1"/>
    </row>
    <row r="141" spans="2:53" x14ac:dyDescent="0.3">
      <c r="B141" s="279"/>
      <c r="C141" s="1"/>
      <c r="D141" s="1"/>
      <c r="E141" s="1"/>
      <c r="F141" s="1"/>
      <c r="G141" s="1"/>
      <c r="H141" s="1"/>
      <c r="I141" s="1"/>
      <c r="J141" s="1"/>
      <c r="K141" s="1"/>
      <c r="L141" s="1"/>
      <c r="M141" s="279"/>
      <c r="N141" s="279"/>
      <c r="O141" s="279"/>
      <c r="P141" s="279"/>
      <c r="Q141" s="1"/>
      <c r="R141" s="1"/>
      <c r="S141" s="1"/>
      <c r="T141" s="1"/>
      <c r="U141" s="1"/>
      <c r="V141" s="1"/>
      <c r="W141" s="1"/>
      <c r="X141" s="1"/>
      <c r="Y141" s="279"/>
      <c r="Z141" s="279"/>
      <c r="AA141" s="279"/>
      <c r="AB141" s="279"/>
      <c r="AC141" s="279"/>
      <c r="AD141" s="279"/>
      <c r="AE141" s="279"/>
      <c r="AF141" s="279"/>
      <c r="AG141" s="279"/>
      <c r="AH141" s="279"/>
      <c r="AI141" s="1"/>
      <c r="AJ141" s="1"/>
      <c r="AK141" s="1"/>
      <c r="AL141" s="1"/>
      <c r="AM141" s="1"/>
      <c r="AN141" s="1"/>
      <c r="AO141" s="1"/>
      <c r="AP141" s="1"/>
      <c r="AQ141" s="1"/>
      <c r="AR141" s="1"/>
      <c r="AS141" s="1"/>
      <c r="AT141" s="1"/>
      <c r="AU141" s="1"/>
      <c r="AV141" s="1"/>
      <c r="AW141" s="1"/>
      <c r="AX141" s="1"/>
      <c r="AY141" s="1"/>
      <c r="AZ141" s="1"/>
      <c r="BA141" s="1"/>
    </row>
    <row r="142" spans="2:53" x14ac:dyDescent="0.3">
      <c r="B142" s="279"/>
      <c r="C142" s="1"/>
      <c r="D142" s="1"/>
      <c r="E142" s="1"/>
      <c r="F142" s="1"/>
      <c r="G142" s="1"/>
      <c r="H142" s="1"/>
      <c r="I142" s="1"/>
      <c r="J142" s="1"/>
      <c r="K142" s="1"/>
      <c r="L142" s="1"/>
      <c r="M142" s="279"/>
      <c r="N142" s="279"/>
      <c r="O142" s="279"/>
      <c r="P142" s="279"/>
      <c r="Q142" s="1"/>
      <c r="R142" s="1"/>
      <c r="S142" s="1"/>
      <c r="T142" s="1"/>
      <c r="U142" s="1"/>
      <c r="V142" s="1"/>
      <c r="W142" s="1"/>
      <c r="X142" s="1"/>
      <c r="Y142" s="279"/>
      <c r="Z142" s="279"/>
      <c r="AA142" s="279"/>
      <c r="AB142" s="279"/>
      <c r="AC142" s="279"/>
      <c r="AD142" s="279"/>
      <c r="AE142" s="279"/>
      <c r="AF142" s="279"/>
      <c r="AG142" s="279"/>
      <c r="AH142" s="279"/>
      <c r="AI142" s="1"/>
      <c r="AJ142" s="1"/>
      <c r="AK142" s="1"/>
      <c r="AL142" s="1"/>
      <c r="AM142" s="1"/>
      <c r="AN142" s="1"/>
      <c r="AO142" s="1"/>
      <c r="AP142" s="1"/>
      <c r="AQ142" s="1"/>
      <c r="AR142" s="1"/>
      <c r="AS142" s="1"/>
      <c r="AT142" s="1"/>
      <c r="AU142" s="1"/>
      <c r="AV142" s="1"/>
      <c r="AW142" s="1"/>
      <c r="AX142" s="1"/>
      <c r="AY142" s="1"/>
      <c r="AZ142" s="1"/>
      <c r="BA142" s="1"/>
    </row>
    <row r="143" spans="2:53" x14ac:dyDescent="0.3">
      <c r="B143" s="279"/>
      <c r="C143" s="1"/>
      <c r="D143" s="1"/>
      <c r="E143" s="1"/>
      <c r="F143" s="1"/>
      <c r="G143" s="1"/>
      <c r="H143" s="1"/>
      <c r="I143" s="1"/>
      <c r="J143" s="1"/>
      <c r="K143" s="1"/>
      <c r="L143" s="1"/>
      <c r="M143" s="279"/>
      <c r="N143" s="279"/>
      <c r="O143" s="279"/>
      <c r="P143" s="279"/>
      <c r="Q143" s="1"/>
      <c r="R143" s="1"/>
      <c r="S143" s="1"/>
      <c r="T143" s="1"/>
      <c r="U143" s="1"/>
      <c r="V143" s="1"/>
      <c r="W143" s="1"/>
      <c r="X143" s="1"/>
      <c r="Y143" s="279"/>
      <c r="Z143" s="279"/>
      <c r="AA143" s="279"/>
      <c r="AB143" s="279"/>
      <c r="AC143" s="279"/>
      <c r="AD143" s="279"/>
      <c r="AE143" s="279"/>
      <c r="AF143" s="279"/>
      <c r="AG143" s="279"/>
      <c r="AH143" s="279"/>
      <c r="AI143" s="1"/>
      <c r="AJ143" s="1"/>
      <c r="AK143" s="1"/>
      <c r="AL143" s="1"/>
      <c r="AM143" s="1"/>
      <c r="AN143" s="1"/>
      <c r="AO143" s="1"/>
      <c r="AP143" s="1"/>
      <c r="AQ143" s="1"/>
      <c r="AR143" s="1"/>
      <c r="AS143" s="1"/>
      <c r="AT143" s="1"/>
      <c r="AU143" s="1"/>
      <c r="AV143" s="1"/>
      <c r="AW143" s="1"/>
      <c r="AX143" s="1"/>
      <c r="AY143" s="1"/>
      <c r="AZ143" s="1"/>
      <c r="BA143" s="1"/>
    </row>
    <row r="144" spans="2:53" x14ac:dyDescent="0.3">
      <c r="B144" s="279"/>
      <c r="C144" s="1"/>
      <c r="D144" s="1"/>
      <c r="E144" s="1"/>
      <c r="F144" s="1"/>
      <c r="G144" s="1"/>
      <c r="H144" s="1"/>
      <c r="I144" s="1"/>
      <c r="J144" s="1"/>
      <c r="K144" s="1"/>
      <c r="L144" s="1"/>
      <c r="M144" s="279"/>
      <c r="N144" s="279"/>
      <c r="O144" s="279"/>
      <c r="P144" s="279"/>
      <c r="Q144" s="1"/>
      <c r="R144" s="1"/>
      <c r="S144" s="1"/>
      <c r="T144" s="1"/>
      <c r="U144" s="1"/>
      <c r="V144" s="1"/>
      <c r="W144" s="1"/>
      <c r="X144" s="1"/>
      <c r="Y144" s="279"/>
      <c r="Z144" s="279"/>
      <c r="AA144" s="279"/>
      <c r="AB144" s="279"/>
      <c r="AC144" s="279"/>
      <c r="AD144" s="279"/>
      <c r="AE144" s="279"/>
      <c r="AF144" s="279"/>
      <c r="AG144" s="279"/>
      <c r="AH144" s="279"/>
      <c r="AI144" s="1"/>
      <c r="AJ144" s="1"/>
      <c r="AK144" s="1"/>
      <c r="AL144" s="1"/>
      <c r="AM144" s="1"/>
      <c r="AN144" s="1"/>
      <c r="AO144" s="1"/>
      <c r="AP144" s="1"/>
      <c r="AQ144" s="1"/>
      <c r="AR144" s="1"/>
      <c r="AS144" s="1"/>
      <c r="AT144" s="1"/>
      <c r="AU144" s="1"/>
      <c r="AV144" s="1"/>
      <c r="AW144" s="1"/>
      <c r="AX144" s="1"/>
      <c r="AY144" s="1"/>
      <c r="AZ144" s="1"/>
      <c r="BA144" s="1"/>
    </row>
    <row r="145" spans="2:53" x14ac:dyDescent="0.3">
      <c r="B145" s="279"/>
      <c r="C145" s="1"/>
      <c r="D145" s="1"/>
      <c r="E145" s="1"/>
      <c r="F145" s="1"/>
      <c r="G145" s="1"/>
      <c r="H145" s="1"/>
      <c r="I145" s="1"/>
      <c r="J145" s="1"/>
      <c r="K145" s="1"/>
      <c r="L145" s="1"/>
      <c r="M145" s="279"/>
      <c r="N145" s="279"/>
      <c r="O145" s="279"/>
      <c r="P145" s="279"/>
      <c r="Q145" s="1"/>
      <c r="R145" s="1"/>
      <c r="S145" s="1"/>
      <c r="T145" s="1"/>
      <c r="U145" s="1"/>
      <c r="V145" s="1"/>
      <c r="W145" s="1"/>
      <c r="X145" s="1"/>
      <c r="Y145" s="279"/>
      <c r="Z145" s="279"/>
      <c r="AA145" s="279"/>
      <c r="AB145" s="279"/>
      <c r="AC145" s="279"/>
      <c r="AD145" s="279"/>
      <c r="AE145" s="279"/>
      <c r="AF145" s="279"/>
      <c r="AG145" s="279"/>
      <c r="AH145" s="279"/>
      <c r="AI145" s="1"/>
      <c r="AJ145" s="1"/>
      <c r="AK145" s="1"/>
      <c r="AL145" s="1"/>
      <c r="AM145" s="1"/>
      <c r="AN145" s="1"/>
      <c r="AO145" s="1"/>
      <c r="AP145" s="1"/>
      <c r="AQ145" s="1"/>
      <c r="AR145" s="1"/>
      <c r="AS145" s="1"/>
      <c r="AT145" s="1"/>
      <c r="AU145" s="1"/>
      <c r="AV145" s="1"/>
      <c r="AW145" s="1"/>
      <c r="AX145" s="1"/>
      <c r="AY145" s="1"/>
      <c r="AZ145" s="1"/>
      <c r="BA145" s="1"/>
    </row>
    <row r="146" spans="2:53" x14ac:dyDescent="0.3">
      <c r="B146" s="279"/>
      <c r="C146" s="1"/>
      <c r="D146" s="1"/>
      <c r="E146" s="1"/>
      <c r="F146" s="1"/>
      <c r="G146" s="1"/>
      <c r="H146" s="1"/>
      <c r="I146" s="1"/>
      <c r="J146" s="1"/>
      <c r="K146" s="1"/>
      <c r="L146" s="1"/>
      <c r="M146" s="279"/>
      <c r="N146" s="279"/>
      <c r="O146" s="279"/>
      <c r="P146" s="279"/>
      <c r="Q146" s="1"/>
      <c r="R146" s="1"/>
      <c r="S146" s="1"/>
      <c r="T146" s="1"/>
      <c r="U146" s="1"/>
      <c r="V146" s="1"/>
      <c r="W146" s="1"/>
      <c r="X146" s="1"/>
      <c r="Y146" s="279"/>
      <c r="Z146" s="279"/>
      <c r="AA146" s="279"/>
      <c r="AB146" s="279"/>
      <c r="AC146" s="279"/>
      <c r="AD146" s="279"/>
      <c r="AE146" s="279"/>
      <c r="AF146" s="279"/>
      <c r="AG146" s="279"/>
      <c r="AH146" s="279"/>
      <c r="AI146" s="1"/>
      <c r="AJ146" s="1"/>
      <c r="AK146" s="1"/>
      <c r="AL146" s="1"/>
      <c r="AM146" s="1"/>
      <c r="AN146" s="1"/>
      <c r="AO146" s="1"/>
      <c r="AP146" s="1"/>
      <c r="AQ146" s="1"/>
      <c r="AR146" s="1"/>
      <c r="AS146" s="1"/>
      <c r="AT146" s="1"/>
      <c r="AU146" s="1"/>
      <c r="AV146" s="1"/>
      <c r="AW146" s="1"/>
      <c r="AX146" s="1"/>
      <c r="AY146" s="1"/>
      <c r="AZ146" s="1"/>
      <c r="BA146" s="1"/>
    </row>
    <row r="147" spans="2:53" x14ac:dyDescent="0.3">
      <c r="B147" s="279"/>
      <c r="C147" s="1"/>
      <c r="D147" s="1"/>
      <c r="E147" s="1"/>
      <c r="F147" s="1"/>
      <c r="G147" s="1"/>
      <c r="H147" s="1"/>
      <c r="I147" s="1"/>
      <c r="J147" s="1"/>
      <c r="K147" s="1"/>
      <c r="L147" s="1"/>
      <c r="M147" s="279"/>
      <c r="N147" s="279"/>
      <c r="O147" s="279"/>
      <c r="P147" s="279"/>
      <c r="Q147" s="1"/>
      <c r="R147" s="1"/>
      <c r="S147" s="1"/>
      <c r="T147" s="1"/>
      <c r="U147" s="1"/>
      <c r="V147" s="1"/>
      <c r="W147" s="1"/>
      <c r="X147" s="1"/>
      <c r="Y147" s="279"/>
      <c r="Z147" s="279"/>
      <c r="AA147" s="279"/>
      <c r="AB147" s="279"/>
      <c r="AC147" s="279"/>
      <c r="AD147" s="279"/>
      <c r="AE147" s="279"/>
      <c r="AF147" s="279"/>
      <c r="AG147" s="279"/>
      <c r="AH147" s="279"/>
      <c r="AI147" s="1"/>
      <c r="AJ147" s="1"/>
      <c r="AK147" s="1"/>
      <c r="AL147" s="1"/>
      <c r="AM147" s="1"/>
      <c r="AN147" s="1"/>
      <c r="AO147" s="1"/>
      <c r="AP147" s="1"/>
      <c r="AQ147" s="1"/>
      <c r="AR147" s="1"/>
      <c r="AS147" s="1"/>
      <c r="AT147" s="1"/>
      <c r="AU147" s="1"/>
      <c r="AV147" s="1"/>
      <c r="AW147" s="1"/>
      <c r="AX147" s="1"/>
      <c r="AY147" s="1"/>
      <c r="AZ147" s="1"/>
      <c r="BA147" s="1"/>
    </row>
    <row r="148" spans="2:53" x14ac:dyDescent="0.3">
      <c r="B148" s="279"/>
      <c r="C148" s="1"/>
      <c r="D148" s="1"/>
      <c r="E148" s="1"/>
      <c r="F148" s="1"/>
      <c r="G148" s="1"/>
      <c r="H148" s="1"/>
      <c r="I148" s="1"/>
      <c r="J148" s="1"/>
      <c r="K148" s="1"/>
      <c r="L148" s="1"/>
      <c r="M148" s="279"/>
      <c r="N148" s="279"/>
      <c r="O148" s="279"/>
      <c r="P148" s="279"/>
      <c r="Q148" s="1"/>
      <c r="R148" s="1"/>
      <c r="S148" s="1"/>
      <c r="T148" s="1"/>
      <c r="U148" s="1"/>
      <c r="V148" s="1"/>
      <c r="W148" s="1"/>
      <c r="X148" s="1"/>
      <c r="Y148" s="279"/>
      <c r="Z148" s="279"/>
      <c r="AA148" s="279"/>
      <c r="AB148" s="279"/>
      <c r="AC148" s="279"/>
      <c r="AD148" s="279"/>
      <c r="AE148" s="279"/>
      <c r="AF148" s="279"/>
      <c r="AG148" s="279"/>
      <c r="AH148" s="279"/>
      <c r="AI148" s="1"/>
      <c r="AJ148" s="1"/>
      <c r="AK148" s="1"/>
      <c r="AL148" s="1"/>
      <c r="AM148" s="1"/>
      <c r="AN148" s="1"/>
      <c r="AO148" s="1"/>
      <c r="AP148" s="1"/>
      <c r="AQ148" s="1"/>
      <c r="AR148" s="1"/>
      <c r="AS148" s="1"/>
      <c r="AT148" s="1"/>
      <c r="AU148" s="1"/>
      <c r="AV148" s="1"/>
      <c r="AW148" s="1"/>
      <c r="AX148" s="1"/>
      <c r="AY148" s="1"/>
      <c r="AZ148" s="1"/>
      <c r="BA148" s="1"/>
    </row>
    <row r="149" spans="2:53" x14ac:dyDescent="0.3">
      <c r="B149" s="279"/>
      <c r="C149" s="1"/>
      <c r="D149" s="1"/>
      <c r="E149" s="1"/>
      <c r="F149" s="1"/>
      <c r="G149" s="1"/>
      <c r="H149" s="1"/>
      <c r="I149" s="1"/>
      <c r="J149" s="1"/>
      <c r="K149" s="1"/>
      <c r="L149" s="1"/>
      <c r="M149" s="279"/>
      <c r="N149" s="279"/>
      <c r="O149" s="279"/>
      <c r="P149" s="279"/>
      <c r="Q149" s="1"/>
      <c r="R149" s="1"/>
      <c r="S149" s="1"/>
      <c r="T149" s="1"/>
      <c r="U149" s="1"/>
      <c r="V149" s="1"/>
      <c r="W149" s="1"/>
      <c r="X149" s="1"/>
      <c r="Y149" s="279"/>
      <c r="Z149" s="279"/>
      <c r="AA149" s="279"/>
      <c r="AB149" s="279"/>
      <c r="AC149" s="279"/>
      <c r="AD149" s="279"/>
      <c r="AE149" s="279"/>
      <c r="AF149" s="279"/>
      <c r="AG149" s="279"/>
      <c r="AH149" s="279"/>
      <c r="AI149" s="1"/>
      <c r="AJ149" s="1"/>
      <c r="AK149" s="1"/>
      <c r="AL149" s="1"/>
      <c r="AM149" s="1"/>
      <c r="AN149" s="1"/>
      <c r="AO149" s="1"/>
      <c r="AP149" s="1"/>
      <c r="AQ149" s="1"/>
      <c r="AR149" s="1"/>
      <c r="AS149" s="1"/>
      <c r="AT149" s="1"/>
      <c r="AU149" s="1"/>
      <c r="AV149" s="1"/>
      <c r="AW149" s="1"/>
      <c r="AX149" s="1"/>
      <c r="AY149" s="1"/>
      <c r="AZ149" s="1"/>
      <c r="BA149" s="1"/>
    </row>
    <row r="150" spans="2:53" x14ac:dyDescent="0.3">
      <c r="B150" s="279"/>
      <c r="C150" s="1"/>
      <c r="D150" s="1"/>
      <c r="E150" s="1"/>
      <c r="F150" s="1"/>
      <c r="G150" s="1"/>
      <c r="H150" s="1"/>
      <c r="I150" s="1"/>
      <c r="J150" s="1"/>
      <c r="K150" s="1"/>
      <c r="L150" s="1"/>
      <c r="M150" s="279"/>
      <c r="N150" s="279"/>
      <c r="O150" s="279"/>
      <c r="P150" s="279"/>
      <c r="Q150" s="1"/>
      <c r="R150" s="1"/>
      <c r="S150" s="1"/>
      <c r="T150" s="1"/>
      <c r="U150" s="1"/>
      <c r="V150" s="1"/>
      <c r="W150" s="1"/>
      <c r="X150" s="1"/>
      <c r="Y150" s="279"/>
      <c r="Z150" s="279"/>
      <c r="AA150" s="279"/>
      <c r="AB150" s="279"/>
      <c r="AC150" s="279"/>
      <c r="AD150" s="279"/>
      <c r="AE150" s="279"/>
      <c r="AF150" s="279"/>
      <c r="AG150" s="279"/>
      <c r="AH150" s="279"/>
      <c r="AI150" s="1"/>
      <c r="AJ150" s="1"/>
      <c r="AK150" s="1"/>
      <c r="AL150" s="1"/>
      <c r="AM150" s="1"/>
      <c r="AN150" s="1"/>
      <c r="AO150" s="1"/>
      <c r="AP150" s="1"/>
      <c r="AQ150" s="1"/>
      <c r="AR150" s="1"/>
      <c r="AS150" s="1"/>
      <c r="AT150" s="1"/>
      <c r="AU150" s="1"/>
      <c r="AV150" s="1"/>
      <c r="AW150" s="1"/>
      <c r="AX150" s="1"/>
      <c r="AY150" s="1"/>
      <c r="AZ150" s="1"/>
      <c r="BA150" s="1"/>
    </row>
    <row r="151" spans="2:53" x14ac:dyDescent="0.3">
      <c r="B151" s="279"/>
      <c r="C151" s="1"/>
      <c r="D151" s="1"/>
      <c r="E151" s="1"/>
      <c r="F151" s="1"/>
      <c r="G151" s="1"/>
      <c r="H151" s="1"/>
      <c r="I151" s="1"/>
      <c r="J151" s="1"/>
      <c r="K151" s="1"/>
      <c r="L151" s="1"/>
      <c r="M151" s="279"/>
      <c r="N151" s="279"/>
      <c r="O151" s="279"/>
      <c r="P151" s="279"/>
      <c r="Q151" s="1"/>
      <c r="R151" s="1"/>
      <c r="S151" s="1"/>
      <c r="T151" s="1"/>
      <c r="U151" s="1"/>
      <c r="V151" s="1"/>
      <c r="W151" s="1"/>
      <c r="X151" s="1"/>
      <c r="Y151" s="279"/>
      <c r="Z151" s="279"/>
      <c r="AA151" s="279"/>
      <c r="AB151" s="279"/>
      <c r="AC151" s="279"/>
      <c r="AD151" s="279"/>
      <c r="AE151" s="279"/>
      <c r="AF151" s="279"/>
      <c r="AG151" s="279"/>
      <c r="AH151" s="279"/>
      <c r="AI151" s="1"/>
      <c r="AJ151" s="1"/>
      <c r="AK151" s="1"/>
      <c r="AL151" s="1"/>
      <c r="AM151" s="1"/>
      <c r="AN151" s="1"/>
      <c r="AO151" s="1"/>
      <c r="AP151" s="1"/>
      <c r="AQ151" s="1"/>
      <c r="AR151" s="1"/>
      <c r="AS151" s="1"/>
      <c r="AT151" s="1"/>
      <c r="AU151" s="1"/>
      <c r="AV151" s="1"/>
      <c r="AW151" s="1"/>
      <c r="AX151" s="1"/>
      <c r="AY151" s="1"/>
      <c r="AZ151" s="1"/>
      <c r="BA151" s="1"/>
    </row>
    <row r="152" spans="2:53" x14ac:dyDescent="0.3">
      <c r="B152" s="279"/>
      <c r="C152" s="1"/>
      <c r="D152" s="1"/>
      <c r="E152" s="1"/>
      <c r="F152" s="1"/>
      <c r="G152" s="1"/>
      <c r="H152" s="1"/>
      <c r="I152" s="1"/>
      <c r="J152" s="1"/>
      <c r="K152" s="1"/>
      <c r="L152" s="1"/>
      <c r="M152" s="279"/>
      <c r="N152" s="279"/>
      <c r="O152" s="279"/>
      <c r="P152" s="279"/>
      <c r="Q152" s="1"/>
      <c r="R152" s="1"/>
      <c r="S152" s="1"/>
      <c r="T152" s="1"/>
      <c r="U152" s="1"/>
      <c r="V152" s="1"/>
      <c r="W152" s="1"/>
      <c r="X152" s="1"/>
      <c r="Y152" s="279"/>
      <c r="Z152" s="279"/>
      <c r="AA152" s="279"/>
      <c r="AB152" s="279"/>
      <c r="AC152" s="279"/>
      <c r="AD152" s="279"/>
      <c r="AE152" s="279"/>
      <c r="AF152" s="279"/>
      <c r="AG152" s="279"/>
      <c r="AH152" s="279"/>
      <c r="AI152" s="1"/>
      <c r="AJ152" s="1"/>
      <c r="AK152" s="1"/>
      <c r="AL152" s="1"/>
      <c r="AM152" s="1"/>
      <c r="AN152" s="1"/>
      <c r="AO152" s="1"/>
      <c r="AP152" s="1"/>
      <c r="AQ152" s="1"/>
      <c r="AR152" s="1"/>
      <c r="AS152" s="1"/>
      <c r="AT152" s="1"/>
      <c r="AU152" s="1"/>
      <c r="AV152" s="1"/>
      <c r="AW152" s="1"/>
      <c r="AX152" s="1"/>
      <c r="AY152" s="1"/>
      <c r="AZ152" s="1"/>
      <c r="BA152" s="1"/>
    </row>
    <row r="153" spans="2:53" x14ac:dyDescent="0.3">
      <c r="B153" s="279"/>
      <c r="C153" s="1"/>
      <c r="D153" s="1"/>
      <c r="E153" s="1"/>
      <c r="F153" s="1"/>
      <c r="G153" s="1"/>
      <c r="H153" s="1"/>
      <c r="I153" s="1"/>
      <c r="J153" s="1"/>
      <c r="K153" s="1"/>
      <c r="L153" s="1"/>
      <c r="M153" s="279"/>
      <c r="N153" s="279"/>
      <c r="O153" s="279"/>
      <c r="P153" s="279"/>
      <c r="Q153" s="1"/>
      <c r="R153" s="1"/>
      <c r="S153" s="1"/>
      <c r="T153" s="1"/>
      <c r="U153" s="1"/>
      <c r="V153" s="1"/>
      <c r="W153" s="1"/>
      <c r="X153" s="1"/>
      <c r="Y153" s="279"/>
      <c r="Z153" s="279"/>
      <c r="AA153" s="279"/>
      <c r="AB153" s="279"/>
      <c r="AC153" s="279"/>
      <c r="AD153" s="279"/>
      <c r="AE153" s="279"/>
      <c r="AF153" s="279"/>
      <c r="AG153" s="279"/>
      <c r="AH153" s="279"/>
      <c r="AI153" s="1"/>
      <c r="AJ153" s="1"/>
      <c r="AK153" s="1"/>
      <c r="AL153" s="1"/>
      <c r="AM153" s="1"/>
      <c r="AN153" s="1"/>
      <c r="AO153" s="1"/>
      <c r="AP153" s="1"/>
      <c r="AQ153" s="1"/>
      <c r="AR153" s="1"/>
      <c r="AS153" s="1"/>
      <c r="AT153" s="1"/>
      <c r="AU153" s="1"/>
      <c r="AV153" s="1"/>
      <c r="AW153" s="1"/>
      <c r="AX153" s="1"/>
      <c r="AY153" s="1"/>
      <c r="AZ153" s="1"/>
      <c r="BA153" s="1"/>
    </row>
    <row r="154" spans="2:53" x14ac:dyDescent="0.3">
      <c r="B154" s="279"/>
      <c r="C154" s="1"/>
      <c r="D154" s="1"/>
      <c r="E154" s="1"/>
      <c r="F154" s="1"/>
      <c r="G154" s="1"/>
      <c r="H154" s="1"/>
      <c r="I154" s="1"/>
      <c r="J154" s="1"/>
      <c r="K154" s="1"/>
      <c r="L154" s="1"/>
      <c r="M154" s="279"/>
      <c r="N154" s="279"/>
      <c r="O154" s="279"/>
      <c r="P154" s="279"/>
      <c r="Q154" s="1"/>
      <c r="R154" s="1"/>
      <c r="S154" s="1"/>
      <c r="T154" s="1"/>
      <c r="U154" s="1"/>
      <c r="V154" s="1"/>
      <c r="W154" s="1"/>
      <c r="X154" s="1"/>
      <c r="Y154" s="279"/>
      <c r="Z154" s="279"/>
      <c r="AA154" s="279"/>
      <c r="AB154" s="279"/>
      <c r="AC154" s="279"/>
      <c r="AD154" s="279"/>
      <c r="AE154" s="279"/>
      <c r="AF154" s="279"/>
      <c r="AG154" s="279"/>
      <c r="AH154" s="279"/>
      <c r="AI154" s="1"/>
      <c r="AJ154" s="1"/>
      <c r="AK154" s="1"/>
      <c r="AL154" s="1"/>
      <c r="AM154" s="1"/>
      <c r="AN154" s="1"/>
      <c r="AO154" s="1"/>
      <c r="AP154" s="1"/>
      <c r="AQ154" s="1"/>
      <c r="AR154" s="1"/>
      <c r="AS154" s="1"/>
      <c r="AT154" s="1"/>
      <c r="AU154" s="1"/>
      <c r="AV154" s="1"/>
      <c r="AW154" s="1"/>
      <c r="AX154" s="1"/>
      <c r="AY154" s="1"/>
      <c r="AZ154" s="1"/>
      <c r="BA154" s="1"/>
    </row>
    <row r="155" spans="2:53" x14ac:dyDescent="0.3">
      <c r="B155" s="279"/>
      <c r="C155" s="1"/>
      <c r="D155" s="1"/>
      <c r="E155" s="1"/>
      <c r="F155" s="1"/>
      <c r="G155" s="1"/>
      <c r="H155" s="1"/>
      <c r="I155" s="1"/>
      <c r="J155" s="1"/>
      <c r="K155" s="1"/>
      <c r="L155" s="1"/>
      <c r="M155" s="279"/>
      <c r="N155" s="279"/>
      <c r="O155" s="279"/>
      <c r="P155" s="279"/>
      <c r="Q155" s="1"/>
      <c r="R155" s="1"/>
      <c r="S155" s="1"/>
      <c r="T155" s="1"/>
      <c r="U155" s="1"/>
      <c r="V155" s="1"/>
      <c r="W155" s="1"/>
      <c r="X155" s="1"/>
      <c r="Y155" s="279"/>
      <c r="Z155" s="279"/>
      <c r="AA155" s="279"/>
      <c r="AB155" s="279"/>
      <c r="AC155" s="279"/>
      <c r="AD155" s="279"/>
      <c r="AE155" s="279"/>
      <c r="AF155" s="279"/>
      <c r="AG155" s="279"/>
      <c r="AH155" s="279"/>
      <c r="AI155" s="1"/>
      <c r="AJ155" s="1"/>
      <c r="AK155" s="1"/>
      <c r="AL155" s="1"/>
      <c r="AM155" s="1"/>
      <c r="AN155" s="1"/>
      <c r="AO155" s="1"/>
      <c r="AP155" s="1"/>
      <c r="AQ155" s="1"/>
      <c r="AR155" s="1"/>
      <c r="AS155" s="1"/>
      <c r="AT155" s="1"/>
      <c r="AU155" s="1"/>
      <c r="AV155" s="1"/>
      <c r="AW155" s="1"/>
      <c r="AX155" s="1"/>
      <c r="AY155" s="1"/>
      <c r="AZ155" s="1"/>
      <c r="BA155" s="1"/>
    </row>
    <row r="156" spans="2:53" x14ac:dyDescent="0.3">
      <c r="B156" s="279"/>
      <c r="C156" s="1"/>
      <c r="D156" s="1"/>
      <c r="E156" s="1"/>
      <c r="F156" s="1"/>
      <c r="G156" s="1"/>
      <c r="H156" s="1"/>
      <c r="I156" s="1"/>
      <c r="J156" s="1"/>
      <c r="K156" s="1"/>
      <c r="L156" s="1"/>
      <c r="M156" s="279"/>
      <c r="N156" s="279"/>
      <c r="O156" s="279"/>
      <c r="P156" s="279"/>
      <c r="Q156" s="1"/>
      <c r="R156" s="1"/>
      <c r="S156" s="1"/>
      <c r="T156" s="1"/>
      <c r="U156" s="1"/>
      <c r="V156" s="1"/>
      <c r="W156" s="1"/>
      <c r="X156" s="1"/>
      <c r="Y156" s="279"/>
      <c r="Z156" s="279"/>
      <c r="AA156" s="279"/>
      <c r="AB156" s="279"/>
      <c r="AC156" s="279"/>
      <c r="AD156" s="279"/>
      <c r="AE156" s="279"/>
      <c r="AF156" s="279"/>
      <c r="AG156" s="279"/>
      <c r="AH156" s="279"/>
      <c r="AI156" s="1"/>
      <c r="AJ156" s="1"/>
      <c r="AK156" s="1"/>
      <c r="AL156" s="1"/>
      <c r="AM156" s="1"/>
      <c r="AN156" s="1"/>
      <c r="AO156" s="1"/>
      <c r="AP156" s="1"/>
      <c r="AQ156" s="1"/>
      <c r="AR156" s="1"/>
      <c r="AS156" s="1"/>
      <c r="AT156" s="1"/>
      <c r="AU156" s="1"/>
      <c r="AV156" s="1"/>
      <c r="AW156" s="1"/>
      <c r="AX156" s="1"/>
      <c r="AY156" s="1"/>
      <c r="AZ156" s="1"/>
      <c r="BA156" s="1"/>
    </row>
    <row r="157" spans="2:53" x14ac:dyDescent="0.3">
      <c r="B157" s="279"/>
      <c r="C157" s="1"/>
      <c r="D157" s="1"/>
      <c r="E157" s="1"/>
      <c r="F157" s="1"/>
      <c r="G157" s="1"/>
      <c r="H157" s="1"/>
      <c r="I157" s="1"/>
      <c r="J157" s="1"/>
      <c r="K157" s="1"/>
      <c r="L157" s="1"/>
      <c r="M157" s="279"/>
      <c r="N157" s="279"/>
      <c r="O157" s="279"/>
      <c r="P157" s="279"/>
      <c r="Q157" s="1"/>
      <c r="R157" s="1"/>
      <c r="S157" s="1"/>
      <c r="T157" s="1"/>
      <c r="U157" s="1"/>
      <c r="V157" s="1"/>
      <c r="W157" s="1"/>
      <c r="X157" s="1"/>
      <c r="Y157" s="279"/>
      <c r="Z157" s="279"/>
      <c r="AA157" s="279"/>
      <c r="AB157" s="279"/>
      <c r="AC157" s="279"/>
      <c r="AD157" s="279"/>
      <c r="AE157" s="279"/>
      <c r="AF157" s="279"/>
      <c r="AG157" s="279"/>
      <c r="AH157" s="279"/>
      <c r="AI157" s="1"/>
      <c r="AJ157" s="1"/>
      <c r="AK157" s="1"/>
      <c r="AL157" s="1"/>
      <c r="AM157" s="1"/>
      <c r="AN157" s="1"/>
      <c r="AO157" s="1"/>
      <c r="AP157" s="1"/>
      <c r="AQ157" s="1"/>
      <c r="AR157" s="1"/>
      <c r="AS157" s="1"/>
      <c r="AT157" s="1"/>
      <c r="AU157" s="1"/>
      <c r="AV157" s="1"/>
      <c r="AW157" s="1"/>
      <c r="AX157" s="1"/>
      <c r="AY157" s="1"/>
      <c r="AZ157" s="1"/>
      <c r="BA157" s="1"/>
    </row>
    <row r="158" spans="2:53" x14ac:dyDescent="0.3">
      <c r="B158" s="279"/>
      <c r="C158" s="1"/>
      <c r="D158" s="1"/>
      <c r="E158" s="1"/>
      <c r="F158" s="1"/>
      <c r="G158" s="1"/>
      <c r="H158" s="1"/>
      <c r="I158" s="1"/>
      <c r="J158" s="1"/>
      <c r="K158" s="1"/>
      <c r="L158" s="1"/>
      <c r="M158" s="279"/>
      <c r="N158" s="279"/>
      <c r="O158" s="279"/>
      <c r="P158" s="279"/>
      <c r="Q158" s="1"/>
      <c r="R158" s="1"/>
      <c r="S158" s="1"/>
      <c r="T158" s="1"/>
      <c r="U158" s="1"/>
      <c r="V158" s="1"/>
      <c r="W158" s="1"/>
      <c r="X158" s="1"/>
      <c r="Y158" s="279"/>
      <c r="Z158" s="279"/>
      <c r="AA158" s="279"/>
      <c r="AB158" s="279"/>
      <c r="AC158" s="279"/>
      <c r="AD158" s="279"/>
      <c r="AE158" s="279"/>
      <c r="AF158" s="279"/>
      <c r="AG158" s="279"/>
      <c r="AH158" s="279"/>
      <c r="AI158" s="1"/>
      <c r="AJ158" s="1"/>
      <c r="AK158" s="1"/>
      <c r="AL158" s="1"/>
      <c r="AM158" s="1"/>
      <c r="AN158" s="1"/>
      <c r="AO158" s="1"/>
      <c r="AP158" s="1"/>
      <c r="AQ158" s="1"/>
      <c r="AR158" s="1"/>
      <c r="AS158" s="1"/>
      <c r="AT158" s="1"/>
      <c r="AU158" s="1"/>
      <c r="AV158" s="1"/>
      <c r="AW158" s="1"/>
      <c r="AX158" s="1"/>
      <c r="AY158" s="1"/>
      <c r="AZ158" s="1"/>
      <c r="BA158" s="1"/>
    </row>
    <row r="159" spans="2:53" x14ac:dyDescent="0.3">
      <c r="B159" s="279"/>
      <c r="C159" s="1"/>
      <c r="D159" s="1"/>
      <c r="E159" s="1"/>
      <c r="F159" s="1"/>
      <c r="G159" s="1"/>
      <c r="H159" s="1"/>
      <c r="I159" s="1"/>
      <c r="J159" s="1"/>
      <c r="K159" s="1"/>
      <c r="L159" s="1"/>
      <c r="M159" s="279"/>
      <c r="N159" s="279"/>
      <c r="O159" s="279"/>
      <c r="P159" s="279"/>
      <c r="Q159" s="1"/>
      <c r="R159" s="1"/>
      <c r="S159" s="1"/>
      <c r="T159" s="1"/>
      <c r="U159" s="1"/>
      <c r="V159" s="1"/>
      <c r="W159" s="1"/>
      <c r="X159" s="1"/>
      <c r="Y159" s="279"/>
      <c r="Z159" s="279"/>
      <c r="AA159" s="279"/>
      <c r="AB159" s="279"/>
      <c r="AC159" s="279"/>
      <c r="AD159" s="279"/>
      <c r="AE159" s="279"/>
      <c r="AF159" s="279"/>
      <c r="AG159" s="279"/>
      <c r="AH159" s="279"/>
      <c r="AI159" s="1"/>
      <c r="AJ159" s="1"/>
      <c r="AK159" s="1"/>
      <c r="AL159" s="1"/>
      <c r="AM159" s="1"/>
      <c r="AN159" s="1"/>
      <c r="AO159" s="1"/>
      <c r="AP159" s="1"/>
      <c r="AQ159" s="1"/>
      <c r="AR159" s="1"/>
      <c r="AS159" s="1"/>
      <c r="AT159" s="1"/>
      <c r="AU159" s="1"/>
      <c r="AV159" s="1"/>
      <c r="AW159" s="1"/>
      <c r="AX159" s="1"/>
      <c r="AY159" s="1"/>
      <c r="AZ159" s="1"/>
      <c r="BA159" s="1"/>
    </row>
    <row r="160" spans="2:53" x14ac:dyDescent="0.3">
      <c r="B160" s="279"/>
      <c r="C160" s="1"/>
      <c r="D160" s="1"/>
      <c r="E160" s="1"/>
      <c r="F160" s="1"/>
      <c r="G160" s="1"/>
      <c r="H160" s="1"/>
      <c r="I160" s="1"/>
      <c r="J160" s="1"/>
      <c r="K160" s="1"/>
      <c r="L160" s="1"/>
      <c r="M160" s="279"/>
      <c r="N160" s="279"/>
      <c r="O160" s="279"/>
      <c r="P160" s="279"/>
      <c r="Q160" s="1"/>
      <c r="R160" s="1"/>
      <c r="S160" s="1"/>
      <c r="T160" s="1"/>
      <c r="U160" s="1"/>
      <c r="V160" s="1"/>
      <c r="W160" s="1"/>
      <c r="X160" s="1"/>
      <c r="Y160" s="279"/>
      <c r="Z160" s="279"/>
      <c r="AA160" s="279"/>
      <c r="AB160" s="279"/>
      <c r="AC160" s="279"/>
      <c r="AD160" s="279"/>
      <c r="AE160" s="279"/>
      <c r="AF160" s="279"/>
      <c r="AG160" s="279"/>
      <c r="AH160" s="279"/>
      <c r="AI160" s="1"/>
      <c r="AJ160" s="1"/>
      <c r="AK160" s="1"/>
      <c r="AL160" s="1"/>
      <c r="AM160" s="1"/>
      <c r="AN160" s="1"/>
      <c r="AO160" s="1"/>
      <c r="AP160" s="1"/>
      <c r="AQ160" s="1"/>
      <c r="AR160" s="1"/>
      <c r="AS160" s="1"/>
      <c r="AT160" s="1"/>
      <c r="AU160" s="1"/>
      <c r="AV160" s="1"/>
      <c r="AW160" s="1"/>
      <c r="AX160" s="1"/>
      <c r="AY160" s="1"/>
      <c r="AZ160" s="1"/>
      <c r="BA160" s="1"/>
    </row>
    <row r="161" spans="2:53" x14ac:dyDescent="0.3">
      <c r="B161" s="279"/>
      <c r="C161" s="1"/>
      <c r="D161" s="1"/>
      <c r="E161" s="1"/>
      <c r="F161" s="1"/>
      <c r="G161" s="1"/>
      <c r="H161" s="1"/>
      <c r="I161" s="1"/>
      <c r="J161" s="1"/>
      <c r="K161" s="1"/>
      <c r="L161" s="1"/>
      <c r="M161" s="279"/>
      <c r="N161" s="279"/>
      <c r="O161" s="279"/>
      <c r="P161" s="279"/>
      <c r="Q161" s="1"/>
      <c r="R161" s="1"/>
      <c r="S161" s="1"/>
      <c r="T161" s="1"/>
      <c r="U161" s="1"/>
      <c r="V161" s="1"/>
      <c r="W161" s="1"/>
      <c r="X161" s="1"/>
      <c r="Y161" s="279"/>
      <c r="Z161" s="279"/>
      <c r="AA161" s="279"/>
      <c r="AB161" s="279"/>
      <c r="AC161" s="279"/>
      <c r="AD161" s="279"/>
      <c r="AE161" s="279"/>
      <c r="AF161" s="279"/>
      <c r="AG161" s="279"/>
      <c r="AH161" s="279"/>
      <c r="AI161" s="1"/>
      <c r="AJ161" s="1"/>
      <c r="AK161" s="1"/>
      <c r="AL161" s="1"/>
      <c r="AM161" s="1"/>
      <c r="AN161" s="1"/>
      <c r="AO161" s="1"/>
      <c r="AP161" s="1"/>
      <c r="AQ161" s="1"/>
      <c r="AR161" s="1"/>
      <c r="AS161" s="1"/>
      <c r="AT161" s="1"/>
      <c r="AU161" s="1"/>
      <c r="AV161" s="1"/>
      <c r="AW161" s="1"/>
      <c r="AX161" s="1"/>
      <c r="AY161" s="1"/>
      <c r="AZ161" s="1"/>
      <c r="BA161" s="1"/>
    </row>
    <row r="162" spans="2:53" x14ac:dyDescent="0.3">
      <c r="B162" s="279"/>
      <c r="C162" s="1"/>
      <c r="D162" s="1"/>
      <c r="E162" s="1"/>
      <c r="F162" s="1"/>
      <c r="G162" s="1"/>
      <c r="H162" s="1"/>
      <c r="I162" s="1"/>
      <c r="J162" s="1"/>
      <c r="K162" s="1"/>
      <c r="L162" s="1"/>
      <c r="M162" s="279"/>
      <c r="N162" s="279"/>
      <c r="O162" s="279"/>
      <c r="P162" s="279"/>
      <c r="Q162" s="1"/>
      <c r="R162" s="1"/>
      <c r="S162" s="1"/>
      <c r="T162" s="1"/>
      <c r="U162" s="1"/>
      <c r="V162" s="1"/>
      <c r="W162" s="1"/>
      <c r="X162" s="1"/>
      <c r="Y162" s="279"/>
      <c r="Z162" s="279"/>
      <c r="AA162" s="279"/>
      <c r="AB162" s="279"/>
      <c r="AC162" s="279"/>
      <c r="AD162" s="279"/>
      <c r="AE162" s="279"/>
      <c r="AF162" s="279"/>
      <c r="AG162" s="279"/>
      <c r="AH162" s="279"/>
      <c r="AI162" s="1"/>
      <c r="AJ162" s="1"/>
      <c r="AK162" s="1"/>
      <c r="AL162" s="1"/>
      <c r="AM162" s="1"/>
      <c r="AN162" s="1"/>
      <c r="AO162" s="1"/>
      <c r="AP162" s="1"/>
      <c r="AQ162" s="1"/>
      <c r="AR162" s="1"/>
      <c r="AS162" s="1"/>
      <c r="AT162" s="1"/>
      <c r="AU162" s="1"/>
      <c r="AV162" s="1"/>
      <c r="AW162" s="1"/>
      <c r="AX162" s="1"/>
      <c r="AY162" s="1"/>
      <c r="AZ162" s="1"/>
      <c r="BA162" s="1"/>
    </row>
    <row r="163" spans="2:53" x14ac:dyDescent="0.3">
      <c r="B163" s="279"/>
      <c r="C163" s="1"/>
      <c r="D163" s="1"/>
      <c r="E163" s="1"/>
      <c r="F163" s="1"/>
      <c r="G163" s="1"/>
      <c r="H163" s="1"/>
      <c r="I163" s="1"/>
      <c r="J163" s="1"/>
      <c r="K163" s="1"/>
      <c r="L163" s="1"/>
      <c r="M163" s="279"/>
      <c r="N163" s="279"/>
      <c r="O163" s="279"/>
      <c r="P163" s="279"/>
      <c r="Q163" s="1"/>
      <c r="R163" s="1"/>
      <c r="S163" s="1"/>
      <c r="T163" s="1"/>
      <c r="U163" s="1"/>
      <c r="V163" s="1"/>
      <c r="W163" s="1"/>
      <c r="X163" s="1"/>
      <c r="Y163" s="279"/>
      <c r="Z163" s="279"/>
      <c r="AA163" s="279"/>
      <c r="AB163" s="279"/>
      <c r="AC163" s="279"/>
      <c r="AD163" s="279"/>
      <c r="AE163" s="279"/>
      <c r="AF163" s="279"/>
      <c r="AG163" s="279"/>
      <c r="AH163" s="279"/>
      <c r="AI163" s="1"/>
      <c r="AJ163" s="1"/>
      <c r="AK163" s="1"/>
      <c r="AL163" s="1"/>
      <c r="AM163" s="1"/>
      <c r="AN163" s="1"/>
      <c r="AO163" s="1"/>
      <c r="AP163" s="1"/>
      <c r="AQ163" s="1"/>
      <c r="AR163" s="1"/>
      <c r="AS163" s="1"/>
      <c r="AT163" s="1"/>
      <c r="AU163" s="1"/>
      <c r="AV163" s="1"/>
      <c r="AW163" s="1"/>
      <c r="AX163" s="1"/>
      <c r="AY163" s="1"/>
      <c r="AZ163" s="1"/>
      <c r="BA163" s="1"/>
    </row>
    <row r="164" spans="2:53" x14ac:dyDescent="0.3">
      <c r="B164" s="279"/>
      <c r="C164" s="1"/>
      <c r="D164" s="1"/>
      <c r="E164" s="1"/>
      <c r="F164" s="1"/>
      <c r="G164" s="1"/>
      <c r="H164" s="1"/>
      <c r="I164" s="1"/>
      <c r="J164" s="1"/>
      <c r="K164" s="1"/>
      <c r="L164" s="1"/>
      <c r="M164" s="279"/>
      <c r="N164" s="279"/>
      <c r="O164" s="279"/>
      <c r="P164" s="279"/>
      <c r="Q164" s="1"/>
      <c r="R164" s="1"/>
      <c r="S164" s="1"/>
      <c r="T164" s="1"/>
      <c r="U164" s="1"/>
      <c r="V164" s="1"/>
      <c r="W164" s="1"/>
      <c r="X164" s="1"/>
      <c r="Y164" s="279"/>
      <c r="Z164" s="279"/>
      <c r="AA164" s="279"/>
      <c r="AB164" s="279"/>
      <c r="AC164" s="279"/>
      <c r="AD164" s="279"/>
      <c r="AE164" s="279"/>
      <c r="AF164" s="279"/>
      <c r="AG164" s="279"/>
      <c r="AH164" s="279"/>
      <c r="AI164" s="1"/>
      <c r="AJ164" s="1"/>
      <c r="AK164" s="1"/>
      <c r="AL164" s="1"/>
      <c r="AM164" s="1"/>
      <c r="AN164" s="1"/>
      <c r="AO164" s="1"/>
      <c r="AP164" s="1"/>
      <c r="AQ164" s="1"/>
      <c r="AR164" s="1"/>
      <c r="AS164" s="1"/>
      <c r="AT164" s="1"/>
      <c r="AU164" s="1"/>
      <c r="AV164" s="1"/>
      <c r="AW164" s="1"/>
      <c r="AX164" s="1"/>
      <c r="AY164" s="1"/>
      <c r="AZ164" s="1"/>
      <c r="BA164" s="1"/>
    </row>
    <row r="165" spans="2:53" x14ac:dyDescent="0.3">
      <c r="B165" s="279"/>
      <c r="C165" s="1"/>
      <c r="D165" s="1"/>
      <c r="E165" s="1"/>
      <c r="F165" s="1"/>
      <c r="G165" s="1"/>
      <c r="H165" s="1"/>
      <c r="I165" s="1"/>
      <c r="J165" s="1"/>
      <c r="K165" s="1"/>
      <c r="L165" s="1"/>
      <c r="M165" s="279"/>
      <c r="N165" s="279"/>
      <c r="O165" s="279"/>
      <c r="P165" s="279"/>
      <c r="Q165" s="1"/>
      <c r="R165" s="1"/>
      <c r="S165" s="1"/>
      <c r="T165" s="1"/>
      <c r="U165" s="1"/>
      <c r="V165" s="1"/>
      <c r="W165" s="1"/>
      <c r="X165" s="1"/>
      <c r="Y165" s="279"/>
      <c r="Z165" s="279"/>
      <c r="AA165" s="279"/>
      <c r="AB165" s="279"/>
      <c r="AC165" s="279"/>
      <c r="AD165" s="279"/>
      <c r="AE165" s="279"/>
      <c r="AF165" s="279"/>
      <c r="AG165" s="279"/>
      <c r="AH165" s="279"/>
      <c r="AI165" s="1"/>
      <c r="AJ165" s="1"/>
      <c r="AK165" s="1"/>
      <c r="AL165" s="1"/>
      <c r="AM165" s="1"/>
      <c r="AN165" s="1"/>
      <c r="AO165" s="1"/>
      <c r="AP165" s="1"/>
      <c r="AQ165" s="1"/>
      <c r="AR165" s="1"/>
      <c r="AS165" s="1"/>
      <c r="AT165" s="1"/>
      <c r="AU165" s="1"/>
      <c r="AV165" s="1"/>
      <c r="AW165" s="1"/>
      <c r="AX165" s="1"/>
      <c r="AY165" s="1"/>
      <c r="AZ165" s="1"/>
      <c r="BA165" s="1"/>
    </row>
    <row r="166" spans="2:53" x14ac:dyDescent="0.3">
      <c r="B166" s="279"/>
      <c r="C166" s="1"/>
      <c r="D166" s="1"/>
      <c r="E166" s="1"/>
      <c r="F166" s="1"/>
      <c r="G166" s="1"/>
      <c r="H166" s="1"/>
      <c r="I166" s="1"/>
      <c r="J166" s="1"/>
      <c r="K166" s="1"/>
      <c r="L166" s="1"/>
      <c r="M166" s="279"/>
      <c r="N166" s="279"/>
      <c r="O166" s="279"/>
      <c r="P166" s="279"/>
      <c r="Q166" s="1"/>
      <c r="R166" s="1"/>
      <c r="S166" s="1"/>
      <c r="T166" s="1"/>
      <c r="U166" s="1"/>
      <c r="V166" s="1"/>
      <c r="W166" s="1"/>
      <c r="X166" s="1"/>
      <c r="Y166" s="279"/>
      <c r="Z166" s="279"/>
      <c r="AA166" s="279"/>
      <c r="AB166" s="279"/>
      <c r="AC166" s="279"/>
      <c r="AD166" s="279"/>
      <c r="AE166" s="279"/>
      <c r="AF166" s="279"/>
      <c r="AG166" s="279"/>
      <c r="AH166" s="279"/>
      <c r="AI166" s="1"/>
      <c r="AJ166" s="1"/>
      <c r="AK166" s="1"/>
      <c r="AL166" s="1"/>
      <c r="AM166" s="1"/>
      <c r="AN166" s="1"/>
      <c r="AO166" s="1"/>
      <c r="AP166" s="1"/>
      <c r="AQ166" s="1"/>
      <c r="AR166" s="1"/>
      <c r="AS166" s="1"/>
      <c r="AT166" s="1"/>
      <c r="AU166" s="1"/>
      <c r="AV166" s="1"/>
      <c r="AW166" s="1"/>
      <c r="AX166" s="1"/>
      <c r="AY166" s="1"/>
      <c r="AZ166" s="1"/>
      <c r="BA166" s="1"/>
    </row>
    <row r="167" spans="2:53" x14ac:dyDescent="0.3">
      <c r="B167" s="279"/>
      <c r="C167" s="1"/>
      <c r="D167" s="1"/>
      <c r="E167" s="1"/>
      <c r="F167" s="1"/>
      <c r="G167" s="1"/>
      <c r="H167" s="1"/>
      <c r="I167" s="1"/>
      <c r="J167" s="1"/>
      <c r="K167" s="1"/>
      <c r="L167" s="1"/>
      <c r="M167" s="279"/>
      <c r="N167" s="279"/>
      <c r="O167" s="279"/>
      <c r="P167" s="279"/>
      <c r="Q167" s="1"/>
      <c r="R167" s="1"/>
      <c r="S167" s="1"/>
      <c r="T167" s="1"/>
      <c r="U167" s="1"/>
      <c r="V167" s="1"/>
      <c r="W167" s="1"/>
      <c r="X167" s="1"/>
      <c r="Y167" s="279"/>
      <c r="Z167" s="279"/>
      <c r="AA167" s="279"/>
      <c r="AB167" s="279"/>
      <c r="AC167" s="279"/>
      <c r="AD167" s="279"/>
      <c r="AE167" s="279"/>
      <c r="AF167" s="279"/>
      <c r="AG167" s="279"/>
      <c r="AH167" s="279"/>
      <c r="AI167" s="1"/>
      <c r="AJ167" s="1"/>
      <c r="AK167" s="1"/>
      <c r="AL167" s="1"/>
      <c r="AM167" s="1"/>
      <c r="AN167" s="1"/>
      <c r="AO167" s="1"/>
      <c r="AP167" s="1"/>
      <c r="AQ167" s="1"/>
      <c r="AR167" s="1"/>
      <c r="AS167" s="1"/>
      <c r="AT167" s="1"/>
      <c r="AU167" s="1"/>
      <c r="AV167" s="1"/>
      <c r="AW167" s="1"/>
      <c r="AX167" s="1"/>
      <c r="AY167" s="1"/>
      <c r="AZ167" s="1"/>
      <c r="BA167" s="1"/>
    </row>
    <row r="168" spans="2:53" x14ac:dyDescent="0.3">
      <c r="B168" s="279"/>
      <c r="C168" s="1"/>
      <c r="D168" s="1"/>
      <c r="E168" s="1"/>
      <c r="F168" s="1"/>
      <c r="G168" s="1"/>
      <c r="H168" s="1"/>
      <c r="I168" s="1"/>
      <c r="J168" s="1"/>
      <c r="K168" s="1"/>
      <c r="L168" s="1"/>
      <c r="M168" s="279"/>
      <c r="N168" s="279"/>
      <c r="O168" s="279"/>
      <c r="P168" s="279"/>
      <c r="Q168" s="1"/>
      <c r="R168" s="1"/>
      <c r="S168" s="1"/>
      <c r="T168" s="1"/>
      <c r="U168" s="1"/>
      <c r="V168" s="1"/>
      <c r="W168" s="1"/>
      <c r="X168" s="1"/>
      <c r="Y168" s="279"/>
      <c r="Z168" s="279"/>
      <c r="AA168" s="279"/>
      <c r="AB168" s="279"/>
      <c r="AC168" s="279"/>
      <c r="AD168" s="279"/>
      <c r="AE168" s="279"/>
      <c r="AF168" s="279"/>
      <c r="AG168" s="279"/>
      <c r="AH168" s="279"/>
      <c r="AI168" s="1"/>
      <c r="AJ168" s="1"/>
      <c r="AK168" s="1"/>
      <c r="AL168" s="1"/>
      <c r="AM168" s="1"/>
      <c r="AN168" s="1"/>
      <c r="AO168" s="1"/>
      <c r="AP168" s="1"/>
      <c r="AQ168" s="1"/>
      <c r="AR168" s="1"/>
      <c r="AS168" s="1"/>
      <c r="AT168" s="1"/>
      <c r="AU168" s="1"/>
      <c r="AV168" s="1"/>
      <c r="AW168" s="1"/>
      <c r="AX168" s="1"/>
      <c r="AY168" s="1"/>
      <c r="AZ168" s="1"/>
      <c r="BA168" s="1"/>
    </row>
    <row r="169" spans="2:53" x14ac:dyDescent="0.3">
      <c r="B169" s="279"/>
      <c r="C169" s="1"/>
      <c r="D169" s="1"/>
      <c r="E169" s="1"/>
      <c r="F169" s="1"/>
      <c r="G169" s="1"/>
      <c r="H169" s="1"/>
      <c r="I169" s="1"/>
      <c r="J169" s="1"/>
      <c r="K169" s="1"/>
      <c r="L169" s="1"/>
      <c r="M169" s="279"/>
      <c r="N169" s="279"/>
      <c r="O169" s="279"/>
      <c r="P169" s="279"/>
      <c r="Q169" s="1"/>
      <c r="R169" s="1"/>
      <c r="S169" s="1"/>
      <c r="T169" s="1"/>
      <c r="U169" s="1"/>
      <c r="V169" s="1"/>
      <c r="W169" s="1"/>
      <c r="X169" s="1"/>
      <c r="Y169" s="279"/>
      <c r="Z169" s="279"/>
      <c r="AA169" s="279"/>
      <c r="AB169" s="279"/>
      <c r="AC169" s="279"/>
      <c r="AD169" s="279"/>
      <c r="AE169" s="279"/>
      <c r="AF169" s="279"/>
      <c r="AG169" s="279"/>
      <c r="AH169" s="279"/>
      <c r="AI169" s="1"/>
      <c r="AJ169" s="1"/>
      <c r="AK169" s="1"/>
      <c r="AL169" s="1"/>
      <c r="AM169" s="1"/>
      <c r="AN169" s="1"/>
      <c r="AO169" s="1"/>
      <c r="AP169" s="1"/>
      <c r="AQ169" s="1"/>
      <c r="AR169" s="1"/>
      <c r="AS169" s="1"/>
      <c r="AT169" s="1"/>
      <c r="AU169" s="1"/>
      <c r="AV169" s="1"/>
      <c r="AW169" s="1"/>
      <c r="AX169" s="1"/>
      <c r="AY169" s="1"/>
      <c r="AZ169" s="1"/>
      <c r="BA169" s="1"/>
    </row>
    <row r="170" spans="2:53" x14ac:dyDescent="0.3">
      <c r="B170" s="279"/>
      <c r="C170" s="1"/>
      <c r="D170" s="1"/>
      <c r="E170" s="1"/>
      <c r="F170" s="1"/>
      <c r="G170" s="1"/>
      <c r="H170" s="1"/>
      <c r="I170" s="1"/>
      <c r="J170" s="1"/>
      <c r="K170" s="1"/>
      <c r="L170" s="1"/>
      <c r="M170" s="279"/>
      <c r="N170" s="279"/>
      <c r="O170" s="279"/>
      <c r="P170" s="279"/>
      <c r="Q170" s="1"/>
      <c r="R170" s="1"/>
      <c r="S170" s="1"/>
      <c r="T170" s="1"/>
      <c r="U170" s="1"/>
      <c r="V170" s="1"/>
      <c r="W170" s="1"/>
      <c r="X170" s="1"/>
      <c r="Y170" s="279"/>
      <c r="Z170" s="279"/>
      <c r="AA170" s="279"/>
      <c r="AB170" s="279"/>
      <c r="AC170" s="279"/>
      <c r="AD170" s="279"/>
      <c r="AE170" s="279"/>
      <c r="AF170" s="279"/>
      <c r="AG170" s="279"/>
      <c r="AH170" s="279"/>
      <c r="AI170" s="1"/>
      <c r="AJ170" s="1"/>
      <c r="AK170" s="1"/>
      <c r="AL170" s="1"/>
      <c r="AM170" s="1"/>
      <c r="AN170" s="1"/>
      <c r="AO170" s="1"/>
      <c r="AP170" s="1"/>
      <c r="AQ170" s="1"/>
      <c r="AR170" s="1"/>
      <c r="AS170" s="1"/>
      <c r="AT170" s="1"/>
      <c r="AU170" s="1"/>
      <c r="AV170" s="1"/>
      <c r="AW170" s="1"/>
      <c r="AX170" s="1"/>
      <c r="AY170" s="1"/>
      <c r="AZ170" s="1"/>
      <c r="BA170" s="1"/>
    </row>
    <row r="171" spans="2:53" x14ac:dyDescent="0.3">
      <c r="B171" s="279"/>
      <c r="C171" s="1"/>
      <c r="D171" s="1"/>
      <c r="E171" s="1"/>
      <c r="F171" s="1"/>
      <c r="G171" s="1"/>
      <c r="H171" s="1"/>
      <c r="I171" s="1"/>
      <c r="J171" s="1"/>
      <c r="K171" s="1"/>
      <c r="L171" s="1"/>
      <c r="M171" s="279"/>
      <c r="N171" s="279"/>
      <c r="O171" s="279"/>
      <c r="P171" s="279"/>
      <c r="Q171" s="1"/>
      <c r="R171" s="1"/>
      <c r="S171" s="1"/>
      <c r="T171" s="1"/>
      <c r="U171" s="1"/>
      <c r="V171" s="1"/>
      <c r="W171" s="1"/>
      <c r="X171" s="1"/>
      <c r="Y171" s="279"/>
      <c r="Z171" s="279"/>
      <c r="AA171" s="279"/>
      <c r="AB171" s="279"/>
      <c r="AC171" s="279"/>
      <c r="AD171" s="279"/>
      <c r="AE171" s="279"/>
      <c r="AF171" s="279"/>
      <c r="AG171" s="279"/>
      <c r="AH171" s="279"/>
      <c r="AI171" s="1"/>
      <c r="AJ171" s="1"/>
      <c r="AK171" s="1"/>
      <c r="AL171" s="1"/>
      <c r="AM171" s="1"/>
      <c r="AN171" s="1"/>
      <c r="AO171" s="1"/>
      <c r="AP171" s="1"/>
      <c r="AQ171" s="1"/>
      <c r="AR171" s="1"/>
      <c r="AS171" s="1"/>
      <c r="AT171" s="1"/>
      <c r="AU171" s="1"/>
      <c r="AV171" s="1"/>
      <c r="AW171" s="1"/>
      <c r="AX171" s="1"/>
      <c r="AY171" s="1"/>
      <c r="AZ171" s="1"/>
      <c r="BA171" s="1"/>
    </row>
    <row r="172" spans="2:53" x14ac:dyDescent="0.3">
      <c r="B172" s="279"/>
      <c r="C172" s="1"/>
      <c r="D172" s="1"/>
      <c r="E172" s="1"/>
      <c r="F172" s="1"/>
      <c r="G172" s="1"/>
      <c r="H172" s="1"/>
      <c r="I172" s="1"/>
      <c r="J172" s="1"/>
      <c r="K172" s="1"/>
      <c r="L172" s="1"/>
      <c r="M172" s="279"/>
      <c r="N172" s="279"/>
      <c r="O172" s="279"/>
      <c r="P172" s="279"/>
      <c r="Q172" s="1"/>
      <c r="R172" s="1"/>
      <c r="S172" s="1"/>
      <c r="T172" s="1"/>
      <c r="U172" s="1"/>
      <c r="V172" s="1"/>
      <c r="W172" s="1"/>
      <c r="X172" s="1"/>
      <c r="Y172" s="279"/>
      <c r="Z172" s="279"/>
      <c r="AA172" s="279"/>
      <c r="AB172" s="279"/>
      <c r="AC172" s="279"/>
      <c r="AD172" s="279"/>
      <c r="AE172" s="279"/>
      <c r="AF172" s="279"/>
      <c r="AG172" s="279"/>
      <c r="AH172" s="279"/>
      <c r="AI172" s="1"/>
      <c r="AJ172" s="1"/>
      <c r="AK172" s="1"/>
      <c r="AL172" s="1"/>
      <c r="AM172" s="1"/>
      <c r="AN172" s="1"/>
      <c r="AO172" s="1"/>
      <c r="AP172" s="1"/>
      <c r="AQ172" s="1"/>
      <c r="AR172" s="1"/>
      <c r="AS172" s="1"/>
      <c r="AT172" s="1"/>
      <c r="AU172" s="1"/>
      <c r="AV172" s="1"/>
      <c r="AW172" s="1"/>
      <c r="AX172" s="1"/>
      <c r="AY172" s="1"/>
      <c r="AZ172" s="1"/>
      <c r="BA172" s="1"/>
    </row>
    <row r="173" spans="2:53" x14ac:dyDescent="0.3">
      <c r="B173" s="279"/>
      <c r="C173" s="1"/>
      <c r="D173" s="1"/>
      <c r="E173" s="1"/>
      <c r="F173" s="1"/>
      <c r="G173" s="1"/>
      <c r="H173" s="1"/>
      <c r="I173" s="1"/>
      <c r="J173" s="1"/>
      <c r="K173" s="1"/>
      <c r="L173" s="1"/>
      <c r="M173" s="279"/>
      <c r="N173" s="279"/>
      <c r="O173" s="279"/>
      <c r="P173" s="279"/>
      <c r="Q173" s="1"/>
      <c r="R173" s="1"/>
      <c r="S173" s="1"/>
      <c r="T173" s="1"/>
      <c r="U173" s="1"/>
      <c r="V173" s="1"/>
      <c r="W173" s="1"/>
      <c r="X173" s="1"/>
      <c r="Y173" s="279"/>
      <c r="Z173" s="279"/>
      <c r="AA173" s="279"/>
      <c r="AB173" s="279"/>
      <c r="AC173" s="279"/>
      <c r="AD173" s="279"/>
      <c r="AE173" s="279"/>
      <c r="AF173" s="279"/>
      <c r="AG173" s="279"/>
      <c r="AH173" s="279"/>
      <c r="AI173" s="1"/>
      <c r="AJ173" s="1"/>
      <c r="AK173" s="1"/>
      <c r="AL173" s="1"/>
      <c r="AM173" s="1"/>
      <c r="AN173" s="1"/>
      <c r="AO173" s="1"/>
      <c r="AP173" s="1"/>
      <c r="AQ173" s="1"/>
      <c r="AR173" s="1"/>
      <c r="AS173" s="1"/>
      <c r="AT173" s="1"/>
      <c r="AU173" s="1"/>
      <c r="AV173" s="1"/>
      <c r="AW173" s="1"/>
      <c r="AX173" s="1"/>
      <c r="AY173" s="1"/>
      <c r="AZ173" s="1"/>
      <c r="BA173" s="1"/>
    </row>
    <row r="174" spans="2:53" x14ac:dyDescent="0.3">
      <c r="B174" s="279"/>
      <c r="C174" s="1"/>
      <c r="D174" s="1"/>
      <c r="E174" s="1"/>
      <c r="F174" s="1"/>
      <c r="G174" s="1"/>
      <c r="H174" s="1"/>
      <c r="I174" s="1"/>
      <c r="J174" s="1"/>
      <c r="K174" s="1"/>
      <c r="L174" s="1"/>
      <c r="M174" s="279"/>
      <c r="N174" s="279"/>
      <c r="O174" s="279"/>
      <c r="P174" s="279"/>
      <c r="Q174" s="1"/>
      <c r="R174" s="1"/>
      <c r="S174" s="1"/>
      <c r="T174" s="1"/>
      <c r="U174" s="1"/>
      <c r="V174" s="1"/>
      <c r="W174" s="1"/>
      <c r="X174" s="1"/>
      <c r="Y174" s="279"/>
      <c r="Z174" s="279"/>
      <c r="AA174" s="279"/>
      <c r="AB174" s="279"/>
      <c r="AC174" s="279"/>
      <c r="AD174" s="279"/>
      <c r="AE174" s="279"/>
      <c r="AF174" s="279"/>
      <c r="AG174" s="279"/>
      <c r="AH174" s="279"/>
      <c r="AI174" s="1"/>
      <c r="AJ174" s="1"/>
      <c r="AK174" s="1"/>
      <c r="AL174" s="1"/>
      <c r="AM174" s="1"/>
      <c r="AN174" s="1"/>
      <c r="AO174" s="1"/>
      <c r="AP174" s="1"/>
      <c r="AQ174" s="1"/>
      <c r="AR174" s="1"/>
      <c r="AS174" s="1"/>
      <c r="AT174" s="1"/>
      <c r="AU174" s="1"/>
      <c r="AV174" s="1"/>
      <c r="AW174" s="1"/>
      <c r="AX174" s="1"/>
      <c r="AY174" s="1"/>
      <c r="AZ174" s="1"/>
      <c r="BA174" s="1"/>
    </row>
    <row r="175" spans="2:53" x14ac:dyDescent="0.3">
      <c r="B175" s="279"/>
      <c r="C175" s="1"/>
      <c r="D175" s="1"/>
      <c r="E175" s="1"/>
      <c r="F175" s="1"/>
      <c r="G175" s="1"/>
      <c r="H175" s="1"/>
      <c r="I175" s="1"/>
      <c r="J175" s="1"/>
      <c r="K175" s="1"/>
      <c r="L175" s="1"/>
      <c r="M175" s="279"/>
      <c r="N175" s="279"/>
      <c r="O175" s="279"/>
      <c r="P175" s="279"/>
      <c r="Q175" s="1"/>
      <c r="R175" s="1"/>
      <c r="S175" s="1"/>
      <c r="T175" s="1"/>
      <c r="U175" s="1"/>
      <c r="V175" s="1"/>
      <c r="W175" s="1"/>
      <c r="X175" s="1"/>
      <c r="Y175" s="279"/>
      <c r="Z175" s="279"/>
      <c r="AA175" s="279"/>
      <c r="AB175" s="279"/>
      <c r="AC175" s="279"/>
      <c r="AD175" s="279"/>
      <c r="AE175" s="279"/>
      <c r="AF175" s="279"/>
      <c r="AG175" s="279"/>
      <c r="AH175" s="279"/>
      <c r="AI175" s="1"/>
      <c r="AJ175" s="1"/>
      <c r="AK175" s="1"/>
      <c r="AL175" s="1"/>
      <c r="AM175" s="1"/>
      <c r="AN175" s="1"/>
      <c r="AO175" s="1"/>
      <c r="AP175" s="1"/>
      <c r="AQ175" s="1"/>
      <c r="AR175" s="1"/>
      <c r="AS175" s="1"/>
      <c r="AT175" s="1"/>
      <c r="AU175" s="1"/>
      <c r="AV175" s="1"/>
      <c r="AW175" s="1"/>
      <c r="AX175" s="1"/>
      <c r="AY175" s="1"/>
      <c r="AZ175" s="1"/>
      <c r="BA175" s="1"/>
    </row>
    <row r="176" spans="2:53" x14ac:dyDescent="0.3">
      <c r="B176" s="279"/>
      <c r="C176" s="1"/>
      <c r="D176" s="1"/>
      <c r="E176" s="1"/>
      <c r="F176" s="1"/>
      <c r="G176" s="1"/>
      <c r="H176" s="1"/>
      <c r="I176" s="1"/>
      <c r="J176" s="1"/>
      <c r="K176" s="1"/>
      <c r="L176" s="1"/>
      <c r="M176" s="279"/>
      <c r="N176" s="279"/>
      <c r="O176" s="279"/>
      <c r="P176" s="279"/>
      <c r="Q176" s="1"/>
      <c r="R176" s="1"/>
      <c r="S176" s="1"/>
      <c r="T176" s="1"/>
      <c r="U176" s="1"/>
      <c r="V176" s="1"/>
      <c r="W176" s="1"/>
      <c r="X176" s="1"/>
      <c r="Y176" s="279"/>
      <c r="Z176" s="279"/>
      <c r="AA176" s="279"/>
      <c r="AB176" s="279"/>
      <c r="AC176" s="279"/>
      <c r="AD176" s="279"/>
      <c r="AE176" s="279"/>
      <c r="AF176" s="279"/>
      <c r="AG176" s="279"/>
      <c r="AH176" s="279"/>
      <c r="AI176" s="1"/>
      <c r="AJ176" s="1"/>
      <c r="AK176" s="1"/>
      <c r="AL176" s="1"/>
      <c r="AM176" s="1"/>
      <c r="AN176" s="1"/>
      <c r="AO176" s="1"/>
      <c r="AP176" s="1"/>
      <c r="AQ176" s="1"/>
      <c r="AR176" s="1"/>
      <c r="AS176" s="1"/>
      <c r="AT176" s="1"/>
      <c r="AU176" s="1"/>
      <c r="AV176" s="1"/>
      <c r="AW176" s="1"/>
      <c r="AX176" s="1"/>
      <c r="AY176" s="1"/>
      <c r="AZ176" s="1"/>
      <c r="BA176" s="1"/>
    </row>
    <row r="177" spans="2:53" x14ac:dyDescent="0.3">
      <c r="B177" s="279"/>
      <c r="C177" s="1"/>
      <c r="D177" s="1"/>
      <c r="E177" s="1"/>
      <c r="F177" s="1"/>
      <c r="G177" s="1"/>
      <c r="H177" s="1"/>
      <c r="I177" s="1"/>
      <c r="J177" s="1"/>
      <c r="K177" s="1"/>
      <c r="L177" s="1"/>
      <c r="M177" s="279"/>
      <c r="N177" s="279"/>
      <c r="O177" s="279"/>
      <c r="P177" s="279"/>
      <c r="Q177" s="1"/>
      <c r="R177" s="1"/>
      <c r="S177" s="1"/>
      <c r="T177" s="1"/>
      <c r="U177" s="1"/>
      <c r="V177" s="1"/>
      <c r="W177" s="1"/>
      <c r="X177" s="1"/>
      <c r="Y177" s="279"/>
      <c r="Z177" s="279"/>
      <c r="AA177" s="279"/>
      <c r="AB177" s="279"/>
      <c r="AC177" s="279"/>
      <c r="AD177" s="279"/>
      <c r="AE177" s="279"/>
      <c r="AF177" s="279"/>
      <c r="AG177" s="279"/>
      <c r="AH177" s="279"/>
      <c r="AI177" s="1"/>
      <c r="AJ177" s="1"/>
      <c r="AK177" s="1"/>
      <c r="AL177" s="1"/>
      <c r="AM177" s="1"/>
      <c r="AN177" s="1"/>
      <c r="AO177" s="1"/>
      <c r="AP177" s="1"/>
      <c r="AQ177" s="1"/>
      <c r="AR177" s="1"/>
      <c r="AS177" s="1"/>
      <c r="AT177" s="1"/>
      <c r="AU177" s="1"/>
      <c r="AV177" s="1"/>
      <c r="AW177" s="1"/>
      <c r="AX177" s="1"/>
      <c r="AY177" s="1"/>
      <c r="AZ177" s="1"/>
      <c r="BA177" s="1"/>
    </row>
    <row r="178" spans="2:53" x14ac:dyDescent="0.3">
      <c r="B178" s="279"/>
      <c r="C178" s="1"/>
      <c r="D178" s="1"/>
      <c r="E178" s="1"/>
      <c r="F178" s="1"/>
      <c r="G178" s="1"/>
      <c r="H178" s="1"/>
      <c r="I178" s="1"/>
      <c r="J178" s="1"/>
      <c r="K178" s="1"/>
      <c r="L178" s="1"/>
      <c r="M178" s="279"/>
      <c r="N178" s="279"/>
      <c r="O178" s="279"/>
      <c r="P178" s="279"/>
      <c r="Q178" s="1"/>
      <c r="R178" s="1"/>
      <c r="S178" s="1"/>
      <c r="T178" s="1"/>
      <c r="U178" s="1"/>
      <c r="V178" s="1"/>
      <c r="W178" s="1"/>
      <c r="X178" s="1"/>
      <c r="Y178" s="279"/>
      <c r="Z178" s="279"/>
      <c r="AA178" s="279"/>
      <c r="AB178" s="279"/>
      <c r="AC178" s="279"/>
      <c r="AD178" s="279"/>
      <c r="AE178" s="279"/>
      <c r="AF178" s="279"/>
      <c r="AG178" s="279"/>
      <c r="AH178" s="279"/>
      <c r="AI178" s="1"/>
      <c r="AJ178" s="1"/>
      <c r="AK178" s="1"/>
      <c r="AL178" s="1"/>
      <c r="AM178" s="1"/>
      <c r="AN178" s="1"/>
      <c r="AO178" s="1"/>
      <c r="AP178" s="1"/>
      <c r="AQ178" s="1"/>
      <c r="AR178" s="1"/>
      <c r="AS178" s="1"/>
      <c r="AT178" s="1"/>
      <c r="AU178" s="1"/>
      <c r="AV178" s="1"/>
      <c r="AW178" s="1"/>
      <c r="AX178" s="1"/>
      <c r="AY178" s="1"/>
      <c r="AZ178" s="1"/>
      <c r="BA178" s="1"/>
    </row>
    <row r="179" spans="2:53" x14ac:dyDescent="0.3">
      <c r="B179" s="279"/>
      <c r="C179" s="1"/>
      <c r="D179" s="1"/>
      <c r="E179" s="1"/>
      <c r="F179" s="1"/>
      <c r="G179" s="1"/>
      <c r="H179" s="1"/>
      <c r="I179" s="1"/>
      <c r="J179" s="1"/>
      <c r="K179" s="1"/>
      <c r="L179" s="1"/>
      <c r="M179" s="279"/>
      <c r="N179" s="279"/>
      <c r="O179" s="279"/>
      <c r="P179" s="279"/>
      <c r="Q179" s="1"/>
      <c r="R179" s="1"/>
      <c r="S179" s="1"/>
      <c r="T179" s="1"/>
      <c r="U179" s="1"/>
      <c r="V179" s="1"/>
      <c r="W179" s="1"/>
      <c r="X179" s="1"/>
      <c r="Y179" s="279"/>
      <c r="Z179" s="279"/>
      <c r="AA179" s="279"/>
      <c r="AB179" s="279"/>
      <c r="AC179" s="279"/>
      <c r="AD179" s="279"/>
      <c r="AE179" s="279"/>
      <c r="AF179" s="279"/>
      <c r="AG179" s="279"/>
      <c r="AH179" s="279"/>
      <c r="AI179" s="1"/>
      <c r="AJ179" s="1"/>
      <c r="AK179" s="1"/>
      <c r="AL179" s="1"/>
      <c r="AM179" s="1"/>
      <c r="AN179" s="1"/>
      <c r="AO179" s="1"/>
      <c r="AP179" s="1"/>
      <c r="AQ179" s="1"/>
      <c r="AR179" s="1"/>
      <c r="AS179" s="1"/>
      <c r="AT179" s="1"/>
      <c r="AU179" s="1"/>
      <c r="AV179" s="1"/>
      <c r="AW179" s="1"/>
      <c r="AX179" s="1"/>
      <c r="AY179" s="1"/>
      <c r="AZ179" s="1"/>
      <c r="BA179" s="1"/>
    </row>
    <row r="180" spans="2:53" x14ac:dyDescent="0.3">
      <c r="B180" s="279"/>
      <c r="C180" s="1"/>
      <c r="D180" s="1"/>
      <c r="E180" s="1"/>
      <c r="F180" s="1"/>
      <c r="G180" s="1"/>
      <c r="H180" s="1"/>
      <c r="I180" s="1"/>
      <c r="J180" s="1"/>
      <c r="K180" s="1"/>
      <c r="L180" s="1"/>
      <c r="M180" s="279"/>
      <c r="N180" s="279"/>
      <c r="O180" s="279"/>
      <c r="P180" s="279"/>
      <c r="Q180" s="1"/>
      <c r="R180" s="1"/>
      <c r="S180" s="1"/>
      <c r="T180" s="1"/>
      <c r="U180" s="1"/>
      <c r="V180" s="1"/>
      <c r="W180" s="1"/>
      <c r="X180" s="1"/>
      <c r="Y180" s="279"/>
      <c r="Z180" s="279"/>
      <c r="AA180" s="279"/>
      <c r="AB180" s="279"/>
      <c r="AC180" s="279"/>
      <c r="AD180" s="279"/>
      <c r="AE180" s="279"/>
      <c r="AF180" s="279"/>
      <c r="AG180" s="279"/>
      <c r="AH180" s="279"/>
      <c r="AI180" s="1"/>
      <c r="AJ180" s="1"/>
      <c r="AK180" s="1"/>
      <c r="AL180" s="1"/>
      <c r="AM180" s="1"/>
      <c r="AN180" s="1"/>
      <c r="AO180" s="1"/>
      <c r="AP180" s="1"/>
      <c r="AQ180" s="1"/>
      <c r="AR180" s="1"/>
      <c r="AS180" s="1"/>
      <c r="AT180" s="1"/>
      <c r="AU180" s="1"/>
      <c r="AV180" s="1"/>
      <c r="AW180" s="1"/>
      <c r="AX180" s="1"/>
      <c r="AY180" s="1"/>
      <c r="AZ180" s="1"/>
      <c r="BA180" s="1"/>
    </row>
    <row r="181" spans="2:53" x14ac:dyDescent="0.3">
      <c r="B181" s="279"/>
      <c r="C181" s="1"/>
      <c r="D181" s="1"/>
      <c r="E181" s="1"/>
      <c r="F181" s="1"/>
      <c r="G181" s="1"/>
      <c r="H181" s="1"/>
      <c r="I181" s="1"/>
      <c r="J181" s="1"/>
      <c r="K181" s="1"/>
      <c r="L181" s="1"/>
      <c r="M181" s="279"/>
      <c r="N181" s="279"/>
      <c r="O181" s="279"/>
      <c r="P181" s="279"/>
      <c r="Q181" s="1"/>
      <c r="R181" s="1"/>
      <c r="S181" s="1"/>
      <c r="T181" s="1"/>
      <c r="U181" s="1"/>
      <c r="V181" s="1"/>
      <c r="W181" s="1"/>
      <c r="X181" s="1"/>
      <c r="Y181" s="279"/>
      <c r="Z181" s="279"/>
      <c r="AA181" s="279"/>
      <c r="AB181" s="279"/>
      <c r="AC181" s="279"/>
      <c r="AD181" s="279"/>
      <c r="AE181" s="279"/>
      <c r="AF181" s="279"/>
      <c r="AG181" s="279"/>
      <c r="AH181" s="279"/>
      <c r="AI181" s="1"/>
      <c r="AJ181" s="1"/>
      <c r="AK181" s="1"/>
      <c r="AL181" s="1"/>
      <c r="AM181" s="1"/>
      <c r="AN181" s="1"/>
      <c r="AO181" s="1"/>
      <c r="AP181" s="1"/>
      <c r="AQ181" s="1"/>
      <c r="AR181" s="1"/>
      <c r="AS181" s="1"/>
      <c r="AT181" s="1"/>
      <c r="AU181" s="1"/>
      <c r="AV181" s="1"/>
      <c r="AW181" s="1"/>
      <c r="AX181" s="1"/>
      <c r="AY181" s="1"/>
      <c r="AZ181" s="1"/>
      <c r="BA181" s="1"/>
    </row>
    <row r="182" spans="2:53" x14ac:dyDescent="0.3">
      <c r="B182" s="279"/>
      <c r="C182" s="1"/>
      <c r="D182" s="1"/>
      <c r="E182" s="1"/>
      <c r="F182" s="1"/>
      <c r="G182" s="1"/>
      <c r="H182" s="1"/>
      <c r="I182" s="1"/>
      <c r="J182" s="1"/>
      <c r="K182" s="1"/>
      <c r="L182" s="1"/>
      <c r="M182" s="279"/>
      <c r="N182" s="279"/>
      <c r="O182" s="279"/>
      <c r="P182" s="279"/>
      <c r="Q182" s="1"/>
      <c r="R182" s="1"/>
      <c r="S182" s="1"/>
      <c r="T182" s="1"/>
      <c r="U182" s="1"/>
      <c r="V182" s="1"/>
      <c r="W182" s="1"/>
      <c r="X182" s="1"/>
      <c r="Y182" s="279"/>
      <c r="Z182" s="279"/>
      <c r="AA182" s="279"/>
      <c r="AB182" s="279"/>
      <c r="AC182" s="279"/>
      <c r="AD182" s="279"/>
      <c r="AE182" s="279"/>
      <c r="AF182" s="279"/>
      <c r="AG182" s="279"/>
      <c r="AH182" s="279"/>
      <c r="AI182" s="1"/>
      <c r="AJ182" s="1"/>
      <c r="AK182" s="1"/>
      <c r="AL182" s="1"/>
      <c r="AM182" s="1"/>
      <c r="AN182" s="1"/>
      <c r="AO182" s="1"/>
      <c r="AP182" s="1"/>
      <c r="AQ182" s="1"/>
      <c r="AR182" s="1"/>
      <c r="AS182" s="1"/>
      <c r="AT182" s="1"/>
      <c r="AU182" s="1"/>
      <c r="AV182" s="1"/>
      <c r="AW182" s="1"/>
      <c r="AX182" s="1"/>
      <c r="AY182" s="1"/>
      <c r="AZ182" s="1"/>
      <c r="BA182" s="1"/>
    </row>
    <row r="183" spans="2:53" x14ac:dyDescent="0.3">
      <c r="B183" s="279"/>
      <c r="C183" s="1"/>
      <c r="D183" s="1"/>
      <c r="E183" s="1"/>
      <c r="F183" s="1"/>
      <c r="G183" s="1"/>
      <c r="H183" s="1"/>
      <c r="I183" s="1"/>
      <c r="J183" s="1"/>
      <c r="K183" s="1"/>
      <c r="L183" s="1"/>
      <c r="M183" s="279"/>
      <c r="N183" s="279"/>
      <c r="O183" s="279"/>
      <c r="P183" s="279"/>
      <c r="Q183" s="1"/>
      <c r="R183" s="1"/>
      <c r="S183" s="1"/>
      <c r="T183" s="1"/>
      <c r="U183" s="1"/>
      <c r="V183" s="1"/>
      <c r="W183" s="1"/>
      <c r="X183" s="1"/>
      <c r="Y183" s="279"/>
      <c r="Z183" s="279"/>
      <c r="AA183" s="279"/>
      <c r="AB183" s="279"/>
      <c r="AC183" s="279"/>
      <c r="AD183" s="279"/>
      <c r="AE183" s="279"/>
      <c r="AF183" s="279"/>
      <c r="AG183" s="279"/>
      <c r="AH183" s="279"/>
      <c r="AI183" s="1"/>
      <c r="AJ183" s="1"/>
      <c r="AK183" s="1"/>
      <c r="AL183" s="1"/>
      <c r="AM183" s="1"/>
      <c r="AN183" s="1"/>
      <c r="AO183" s="1"/>
      <c r="AP183" s="1"/>
      <c r="AQ183" s="1"/>
      <c r="AR183" s="1"/>
      <c r="AS183" s="1"/>
      <c r="AT183" s="1"/>
      <c r="AU183" s="1"/>
      <c r="AV183" s="1"/>
      <c r="AW183" s="1"/>
      <c r="AX183" s="1"/>
      <c r="AY183" s="1"/>
      <c r="AZ183" s="1"/>
      <c r="BA183" s="1"/>
    </row>
    <row r="184" spans="2:53" x14ac:dyDescent="0.3">
      <c r="B184" s="279"/>
      <c r="C184" s="1"/>
      <c r="D184" s="1"/>
      <c r="E184" s="1"/>
      <c r="F184" s="1"/>
      <c r="G184" s="1"/>
      <c r="H184" s="1"/>
      <c r="I184" s="1"/>
      <c r="J184" s="1"/>
      <c r="K184" s="1"/>
      <c r="L184" s="1"/>
      <c r="M184" s="279"/>
      <c r="N184" s="279"/>
      <c r="O184" s="279"/>
      <c r="P184" s="279"/>
      <c r="Q184" s="1"/>
      <c r="R184" s="1"/>
      <c r="S184" s="1"/>
      <c r="T184" s="1"/>
      <c r="U184" s="1"/>
      <c r="V184" s="1"/>
      <c r="W184" s="1"/>
      <c r="X184" s="1"/>
      <c r="Y184" s="279"/>
      <c r="Z184" s="279"/>
      <c r="AA184" s="279"/>
      <c r="AB184" s="279"/>
      <c r="AC184" s="279"/>
      <c r="AD184" s="279"/>
      <c r="AE184" s="279"/>
      <c r="AF184" s="279"/>
      <c r="AG184" s="279"/>
      <c r="AH184" s="279"/>
      <c r="AI184" s="1"/>
      <c r="AJ184" s="1"/>
      <c r="AK184" s="1"/>
      <c r="AL184" s="1"/>
      <c r="AM184" s="1"/>
      <c r="AN184" s="1"/>
      <c r="AO184" s="1"/>
      <c r="AP184" s="1"/>
      <c r="AQ184" s="1"/>
      <c r="AR184" s="1"/>
      <c r="AS184" s="1"/>
      <c r="AT184" s="1"/>
      <c r="AU184" s="1"/>
      <c r="AV184" s="1"/>
      <c r="AW184" s="1"/>
      <c r="AX184" s="1"/>
      <c r="AY184" s="1"/>
      <c r="AZ184" s="1"/>
      <c r="BA184" s="1"/>
    </row>
    <row r="185" spans="2:53" x14ac:dyDescent="0.3">
      <c r="B185" s="279"/>
      <c r="C185" s="1"/>
      <c r="D185" s="1"/>
      <c r="E185" s="1"/>
      <c r="F185" s="1"/>
      <c r="G185" s="1"/>
      <c r="H185" s="1"/>
      <c r="I185" s="1"/>
      <c r="J185" s="1"/>
      <c r="K185" s="1"/>
      <c r="L185" s="1"/>
      <c r="M185" s="279"/>
      <c r="N185" s="279"/>
      <c r="O185" s="279"/>
      <c r="P185" s="279"/>
      <c r="Q185" s="1"/>
      <c r="R185" s="1"/>
      <c r="S185" s="1"/>
      <c r="T185" s="1"/>
      <c r="U185" s="1"/>
      <c r="V185" s="1"/>
      <c r="W185" s="1"/>
      <c r="X185" s="1"/>
      <c r="Y185" s="279"/>
      <c r="Z185" s="279"/>
      <c r="AA185" s="279"/>
      <c r="AB185" s="279"/>
      <c r="AC185" s="279"/>
      <c r="AD185" s="279"/>
      <c r="AE185" s="279"/>
      <c r="AF185" s="279"/>
      <c r="AG185" s="279"/>
      <c r="AH185" s="279"/>
      <c r="AI185" s="1"/>
      <c r="AJ185" s="1"/>
      <c r="AK185" s="1"/>
      <c r="AL185" s="1"/>
      <c r="AM185" s="1"/>
      <c r="AN185" s="1"/>
      <c r="AO185" s="1"/>
      <c r="AP185" s="1"/>
      <c r="AQ185" s="1"/>
      <c r="AR185" s="1"/>
      <c r="AS185" s="1"/>
      <c r="AT185" s="1"/>
      <c r="AU185" s="1"/>
      <c r="AV185" s="1"/>
      <c r="AW185" s="1"/>
      <c r="AX185" s="1"/>
      <c r="AY185" s="1"/>
      <c r="AZ185" s="1"/>
      <c r="BA185" s="1"/>
    </row>
    <row r="186" spans="2:53" x14ac:dyDescent="0.3">
      <c r="B186" s="279"/>
      <c r="C186" s="1"/>
      <c r="D186" s="1"/>
      <c r="E186" s="1"/>
      <c r="F186" s="1"/>
      <c r="G186" s="1"/>
      <c r="H186" s="1"/>
      <c r="I186" s="1"/>
      <c r="J186" s="1"/>
      <c r="K186" s="1"/>
      <c r="L186" s="1"/>
      <c r="M186" s="279"/>
      <c r="N186" s="279"/>
      <c r="O186" s="279"/>
      <c r="P186" s="279"/>
      <c r="Q186" s="1"/>
      <c r="R186" s="1"/>
      <c r="S186" s="1"/>
      <c r="T186" s="1"/>
      <c r="U186" s="1"/>
      <c r="V186" s="1"/>
      <c r="W186" s="1"/>
      <c r="X186" s="1"/>
      <c r="Y186" s="279"/>
      <c r="Z186" s="279"/>
      <c r="AA186" s="279"/>
      <c r="AB186" s="279"/>
      <c r="AC186" s="279"/>
      <c r="AD186" s="279"/>
      <c r="AE186" s="279"/>
      <c r="AF186" s="279"/>
      <c r="AG186" s="279"/>
      <c r="AH186" s="279"/>
      <c r="AI186" s="1"/>
      <c r="AJ186" s="1"/>
      <c r="AK186" s="1"/>
      <c r="AL186" s="1"/>
      <c r="AM186" s="1"/>
      <c r="AN186" s="1"/>
      <c r="AO186" s="1"/>
      <c r="AP186" s="1"/>
      <c r="AQ186" s="1"/>
      <c r="AR186" s="1"/>
      <c r="AS186" s="1"/>
      <c r="AT186" s="1"/>
      <c r="AU186" s="1"/>
      <c r="AV186" s="1"/>
      <c r="AW186" s="1"/>
      <c r="AX186" s="1"/>
      <c r="AY186" s="1"/>
      <c r="AZ186" s="1"/>
      <c r="BA186" s="1"/>
    </row>
    <row r="187" spans="2:53" x14ac:dyDescent="0.3">
      <c r="B187" s="279"/>
      <c r="C187" s="1"/>
      <c r="D187" s="1"/>
      <c r="E187" s="1"/>
      <c r="F187" s="1"/>
      <c r="G187" s="1"/>
      <c r="H187" s="1"/>
      <c r="I187" s="1"/>
      <c r="J187" s="1"/>
      <c r="K187" s="1"/>
      <c r="L187" s="1"/>
      <c r="M187" s="279"/>
      <c r="N187" s="279"/>
      <c r="O187" s="279"/>
      <c r="P187" s="279"/>
      <c r="Q187" s="1"/>
      <c r="R187" s="1"/>
      <c r="S187" s="1"/>
      <c r="T187" s="1"/>
      <c r="U187" s="1"/>
      <c r="V187" s="1"/>
      <c r="W187" s="1"/>
      <c r="X187" s="1"/>
      <c r="Y187" s="279"/>
      <c r="Z187" s="279"/>
      <c r="AA187" s="279"/>
      <c r="AB187" s="279"/>
      <c r="AC187" s="279"/>
      <c r="AD187" s="279"/>
      <c r="AE187" s="279"/>
      <c r="AF187" s="279"/>
      <c r="AG187" s="279"/>
      <c r="AH187" s="279"/>
      <c r="AI187" s="1"/>
      <c r="AJ187" s="1"/>
      <c r="AK187" s="1"/>
      <c r="AL187" s="1"/>
      <c r="AM187" s="1"/>
      <c r="AN187" s="1"/>
      <c r="AO187" s="1"/>
      <c r="AP187" s="1"/>
      <c r="AQ187" s="1"/>
      <c r="AR187" s="1"/>
      <c r="AS187" s="1"/>
      <c r="AT187" s="1"/>
      <c r="AU187" s="1"/>
      <c r="AV187" s="1"/>
      <c r="AW187" s="1"/>
      <c r="AX187" s="1"/>
      <c r="AY187" s="1"/>
      <c r="AZ187" s="1"/>
      <c r="BA187" s="1"/>
    </row>
    <row r="188" spans="2:53" x14ac:dyDescent="0.3">
      <c r="B188" s="279"/>
      <c r="C188" s="1"/>
      <c r="D188" s="1"/>
      <c r="E188" s="1"/>
      <c r="F188" s="1"/>
      <c r="G188" s="1"/>
      <c r="H188" s="1"/>
      <c r="I188" s="1"/>
      <c r="J188" s="1"/>
      <c r="K188" s="1"/>
      <c r="L188" s="1"/>
      <c r="M188" s="279"/>
      <c r="N188" s="279"/>
      <c r="O188" s="279"/>
      <c r="P188" s="279"/>
      <c r="Q188" s="1"/>
      <c r="R188" s="1"/>
      <c r="S188" s="1"/>
      <c r="T188" s="1"/>
      <c r="U188" s="1"/>
      <c r="V188" s="1"/>
      <c r="W188" s="1"/>
      <c r="X188" s="1"/>
      <c r="Y188" s="279"/>
      <c r="Z188" s="279"/>
      <c r="AA188" s="279"/>
      <c r="AB188" s="279"/>
      <c r="AC188" s="279"/>
      <c r="AD188" s="279"/>
      <c r="AE188" s="279"/>
      <c r="AF188" s="279"/>
      <c r="AG188" s="279"/>
      <c r="AH188" s="279"/>
      <c r="AI188" s="1"/>
      <c r="AJ188" s="1"/>
      <c r="AK188" s="1"/>
      <c r="AL188" s="1"/>
      <c r="AM188" s="1"/>
      <c r="AN188" s="1"/>
      <c r="AO188" s="1"/>
      <c r="AP188" s="1"/>
      <c r="AQ188" s="1"/>
      <c r="AR188" s="1"/>
      <c r="AS188" s="1"/>
      <c r="AT188" s="1"/>
      <c r="AU188" s="1"/>
      <c r="AV188" s="1"/>
      <c r="AW188" s="1"/>
      <c r="AX188" s="1"/>
      <c r="AY188" s="1"/>
      <c r="AZ188" s="1"/>
      <c r="BA188" s="1"/>
    </row>
    <row r="189" spans="2:53" x14ac:dyDescent="0.3">
      <c r="B189" s="279"/>
      <c r="C189" s="1"/>
      <c r="D189" s="1"/>
      <c r="E189" s="1"/>
      <c r="F189" s="1"/>
      <c r="G189" s="1"/>
      <c r="H189" s="1"/>
      <c r="I189" s="1"/>
      <c r="J189" s="1"/>
      <c r="K189" s="1"/>
      <c r="L189" s="1"/>
      <c r="M189" s="279"/>
      <c r="N189" s="279"/>
      <c r="O189" s="279"/>
      <c r="P189" s="279"/>
      <c r="Q189" s="1"/>
      <c r="R189" s="1"/>
      <c r="S189" s="1"/>
      <c r="T189" s="1"/>
      <c r="U189" s="1"/>
      <c r="V189" s="1"/>
      <c r="W189" s="1"/>
      <c r="X189" s="1"/>
      <c r="Y189" s="279"/>
      <c r="Z189" s="279"/>
      <c r="AA189" s="279"/>
      <c r="AB189" s="279"/>
      <c r="AC189" s="279"/>
      <c r="AD189" s="279"/>
      <c r="AE189" s="279"/>
      <c r="AF189" s="279"/>
      <c r="AG189" s="279"/>
      <c r="AH189" s="279"/>
      <c r="AI189" s="1"/>
      <c r="AJ189" s="1"/>
      <c r="AK189" s="1"/>
      <c r="AL189" s="1"/>
      <c r="AM189" s="1"/>
      <c r="AN189" s="1"/>
      <c r="AO189" s="1"/>
      <c r="AP189" s="1"/>
      <c r="AQ189" s="1"/>
      <c r="AR189" s="1"/>
      <c r="AS189" s="1"/>
      <c r="AT189" s="1"/>
      <c r="AU189" s="1"/>
      <c r="AV189" s="1"/>
      <c r="AW189" s="1"/>
      <c r="AX189" s="1"/>
      <c r="AY189" s="1"/>
      <c r="AZ189" s="1"/>
      <c r="BA189" s="1"/>
    </row>
    <row r="190" spans="2:53" x14ac:dyDescent="0.3">
      <c r="B190" s="279"/>
      <c r="C190" s="1"/>
      <c r="D190" s="1"/>
      <c r="E190" s="1"/>
      <c r="F190" s="1"/>
      <c r="G190" s="1"/>
      <c r="H190" s="1"/>
      <c r="I190" s="1"/>
      <c r="J190" s="1"/>
      <c r="K190" s="1"/>
      <c r="L190" s="1"/>
      <c r="M190" s="279"/>
      <c r="N190" s="279"/>
      <c r="O190" s="279"/>
      <c r="P190" s="279"/>
      <c r="Q190" s="1"/>
      <c r="R190" s="1"/>
      <c r="S190" s="1"/>
      <c r="T190" s="1"/>
      <c r="U190" s="1"/>
      <c r="V190" s="1"/>
      <c r="W190" s="1"/>
      <c r="X190" s="1"/>
      <c r="Y190" s="279"/>
      <c r="Z190" s="279"/>
      <c r="AA190" s="279"/>
      <c r="AB190" s="279"/>
      <c r="AC190" s="279"/>
      <c r="AD190" s="279"/>
      <c r="AE190" s="279"/>
      <c r="AF190" s="279"/>
      <c r="AG190" s="279"/>
      <c r="AH190" s="279"/>
      <c r="AI190" s="1"/>
      <c r="AJ190" s="1"/>
      <c r="AK190" s="1"/>
      <c r="AL190" s="1"/>
      <c r="AM190" s="1"/>
      <c r="AN190" s="1"/>
      <c r="AO190" s="1"/>
      <c r="AP190" s="1"/>
      <c r="AQ190" s="1"/>
      <c r="AR190" s="1"/>
      <c r="AS190" s="1"/>
      <c r="AT190" s="1"/>
      <c r="AU190" s="1"/>
      <c r="AV190" s="1"/>
      <c r="AW190" s="1"/>
      <c r="AX190" s="1"/>
      <c r="AY190" s="1"/>
      <c r="AZ190" s="1"/>
      <c r="BA190" s="1"/>
    </row>
    <row r="191" spans="2:53" x14ac:dyDescent="0.3">
      <c r="B191" s="279"/>
      <c r="C191" s="1"/>
      <c r="D191" s="1"/>
      <c r="E191" s="1"/>
      <c r="F191" s="1"/>
      <c r="G191" s="1"/>
      <c r="H191" s="1"/>
      <c r="I191" s="1"/>
      <c r="J191" s="1"/>
      <c r="K191" s="1"/>
      <c r="L191" s="1"/>
      <c r="M191" s="279"/>
      <c r="N191" s="279"/>
      <c r="O191" s="279"/>
      <c r="P191" s="279"/>
      <c r="Q191" s="1"/>
      <c r="R191" s="1"/>
      <c r="S191" s="1"/>
      <c r="T191" s="1"/>
      <c r="U191" s="1"/>
      <c r="V191" s="1"/>
      <c r="W191" s="1"/>
      <c r="X191" s="1"/>
      <c r="Y191" s="279"/>
      <c r="Z191" s="279"/>
      <c r="AA191" s="279"/>
      <c r="AB191" s="279"/>
      <c r="AC191" s="279"/>
      <c r="AD191" s="279"/>
      <c r="AE191" s="279"/>
      <c r="AF191" s="279"/>
      <c r="AG191" s="279"/>
      <c r="AH191" s="279"/>
      <c r="AI191" s="1"/>
      <c r="AJ191" s="1"/>
      <c r="AK191" s="1"/>
      <c r="AL191" s="1"/>
      <c r="AM191" s="1"/>
      <c r="AN191" s="1"/>
      <c r="AO191" s="1"/>
      <c r="AP191" s="1"/>
      <c r="AQ191" s="1"/>
      <c r="AR191" s="1"/>
      <c r="AS191" s="1"/>
      <c r="AT191" s="1"/>
      <c r="AU191" s="1"/>
      <c r="AV191" s="1"/>
      <c r="AW191" s="1"/>
      <c r="AX191" s="1"/>
      <c r="AY191" s="1"/>
      <c r="AZ191" s="1"/>
      <c r="BA191" s="1"/>
    </row>
    <row r="192" spans="2:53" x14ac:dyDescent="0.3">
      <c r="B192" s="279"/>
      <c r="C192" s="1"/>
      <c r="D192" s="1"/>
      <c r="E192" s="1"/>
      <c r="F192" s="1"/>
      <c r="G192" s="1"/>
      <c r="H192" s="1"/>
      <c r="I192" s="1"/>
      <c r="J192" s="1"/>
      <c r="K192" s="1"/>
      <c r="L192" s="1"/>
      <c r="M192" s="279"/>
      <c r="N192" s="279"/>
      <c r="O192" s="279"/>
      <c r="P192" s="279"/>
      <c r="Q192" s="1"/>
      <c r="R192" s="1"/>
      <c r="S192" s="1"/>
      <c r="T192" s="1"/>
      <c r="U192" s="1"/>
      <c r="V192" s="1"/>
      <c r="W192" s="1"/>
      <c r="X192" s="1"/>
      <c r="Y192" s="279"/>
      <c r="Z192" s="279"/>
      <c r="AA192" s="279"/>
      <c r="AB192" s="279"/>
      <c r="AC192" s="279"/>
      <c r="AD192" s="279"/>
      <c r="AE192" s="279"/>
      <c r="AF192" s="279"/>
      <c r="AG192" s="279"/>
      <c r="AH192" s="279"/>
      <c r="AI192" s="1"/>
      <c r="AJ192" s="1"/>
      <c r="AK192" s="1"/>
      <c r="AL192" s="1"/>
      <c r="AM192" s="1"/>
      <c r="AN192" s="1"/>
      <c r="AO192" s="1"/>
      <c r="AP192" s="1"/>
      <c r="AQ192" s="1"/>
      <c r="AR192" s="1"/>
      <c r="AS192" s="1"/>
      <c r="AT192" s="1"/>
      <c r="AU192" s="1"/>
      <c r="AV192" s="1"/>
      <c r="AW192" s="1"/>
      <c r="AX192" s="1"/>
      <c r="AY192" s="1"/>
      <c r="AZ192" s="1"/>
      <c r="BA192" s="1"/>
    </row>
    <row r="193" spans="2:53" x14ac:dyDescent="0.3">
      <c r="B193" s="279"/>
      <c r="C193" s="1"/>
      <c r="D193" s="1"/>
      <c r="E193" s="1"/>
      <c r="F193" s="1"/>
      <c r="G193" s="1"/>
      <c r="H193" s="1"/>
      <c r="I193" s="1"/>
      <c r="J193" s="1"/>
      <c r="K193" s="1"/>
      <c r="L193" s="1"/>
      <c r="M193" s="279"/>
      <c r="N193" s="279"/>
      <c r="O193" s="279"/>
      <c r="P193" s="279"/>
      <c r="Q193" s="1"/>
      <c r="R193" s="1"/>
      <c r="S193" s="1"/>
      <c r="T193" s="1"/>
      <c r="U193" s="1"/>
      <c r="V193" s="1"/>
      <c r="W193" s="1"/>
      <c r="X193" s="1"/>
      <c r="Y193" s="279"/>
      <c r="Z193" s="279"/>
      <c r="AA193" s="279"/>
      <c r="AB193" s="279"/>
      <c r="AC193" s="279"/>
      <c r="AD193" s="279"/>
      <c r="AE193" s="279"/>
      <c r="AF193" s="279"/>
      <c r="AG193" s="279"/>
      <c r="AH193" s="279"/>
      <c r="AI193" s="1"/>
      <c r="AJ193" s="1"/>
      <c r="AK193" s="1"/>
      <c r="AL193" s="1"/>
      <c r="AM193" s="1"/>
      <c r="AN193" s="1"/>
      <c r="AO193" s="1"/>
      <c r="AP193" s="1"/>
      <c r="AQ193" s="1"/>
      <c r="AR193" s="1"/>
      <c r="AS193" s="1"/>
      <c r="AT193" s="1"/>
      <c r="AU193" s="1"/>
      <c r="AV193" s="1"/>
      <c r="AW193" s="1"/>
      <c r="AX193" s="1"/>
      <c r="AY193" s="1"/>
      <c r="AZ193" s="1"/>
      <c r="BA193" s="1"/>
    </row>
    <row r="194" spans="2:53" x14ac:dyDescent="0.3">
      <c r="B194" s="279"/>
      <c r="C194" s="1"/>
      <c r="D194" s="1"/>
      <c r="E194" s="1"/>
      <c r="F194" s="1"/>
      <c r="G194" s="1"/>
      <c r="H194" s="1"/>
      <c r="I194" s="1"/>
      <c r="J194" s="1"/>
      <c r="K194" s="1"/>
      <c r="L194" s="1"/>
      <c r="M194" s="279"/>
      <c r="N194" s="279"/>
      <c r="O194" s="279"/>
      <c r="P194" s="279"/>
      <c r="Q194" s="1"/>
      <c r="R194" s="1"/>
      <c r="S194" s="1"/>
      <c r="T194" s="1"/>
      <c r="U194" s="1"/>
      <c r="V194" s="1"/>
      <c r="W194" s="1"/>
      <c r="X194" s="1"/>
      <c r="Y194" s="279"/>
      <c r="Z194" s="279"/>
      <c r="AA194" s="279"/>
      <c r="AB194" s="279"/>
      <c r="AC194" s="279"/>
      <c r="AD194" s="279"/>
      <c r="AE194" s="279"/>
      <c r="AF194" s="279"/>
      <c r="AG194" s="279"/>
      <c r="AH194" s="279"/>
      <c r="AI194" s="1"/>
      <c r="AJ194" s="1"/>
      <c r="AK194" s="1"/>
      <c r="AL194" s="1"/>
      <c r="AM194" s="1"/>
      <c r="AN194" s="1"/>
      <c r="AO194" s="1"/>
      <c r="AP194" s="1"/>
      <c r="AQ194" s="1"/>
      <c r="AR194" s="1"/>
      <c r="AS194" s="1"/>
      <c r="AT194" s="1"/>
      <c r="AU194" s="1"/>
      <c r="AV194" s="1"/>
      <c r="AW194" s="1"/>
      <c r="AX194" s="1"/>
      <c r="AY194" s="1"/>
      <c r="AZ194" s="1"/>
      <c r="BA194" s="1"/>
    </row>
    <row r="195" spans="2:53" x14ac:dyDescent="0.3">
      <c r="B195" s="279"/>
      <c r="C195" s="1"/>
      <c r="D195" s="1"/>
      <c r="E195" s="1"/>
      <c r="F195" s="1"/>
      <c r="G195" s="1"/>
      <c r="H195" s="1"/>
      <c r="I195" s="1"/>
      <c r="J195" s="1"/>
      <c r="K195" s="1"/>
      <c r="L195" s="1"/>
      <c r="M195" s="279"/>
      <c r="N195" s="279"/>
      <c r="O195" s="279"/>
      <c r="P195" s="279"/>
      <c r="Q195" s="1"/>
      <c r="R195" s="1"/>
      <c r="S195" s="1"/>
      <c r="T195" s="1"/>
      <c r="U195" s="1"/>
      <c r="V195" s="1"/>
      <c r="W195" s="1"/>
      <c r="X195" s="1"/>
      <c r="Y195" s="279"/>
      <c r="Z195" s="279"/>
      <c r="AA195" s="279"/>
      <c r="AB195" s="279"/>
      <c r="AC195" s="279"/>
      <c r="AD195" s="279"/>
      <c r="AE195" s="279"/>
      <c r="AF195" s="279"/>
      <c r="AG195" s="279"/>
      <c r="AH195" s="279"/>
      <c r="AI195" s="1"/>
      <c r="AJ195" s="1"/>
      <c r="AK195" s="1"/>
      <c r="AL195" s="1"/>
      <c r="AM195" s="1"/>
      <c r="AN195" s="1"/>
      <c r="AO195" s="1"/>
      <c r="AP195" s="1"/>
      <c r="AQ195" s="1"/>
      <c r="AR195" s="1"/>
      <c r="AS195" s="1"/>
      <c r="AT195" s="1"/>
      <c r="AU195" s="1"/>
      <c r="AV195" s="1"/>
      <c r="AW195" s="1"/>
      <c r="AX195" s="1"/>
      <c r="AY195" s="1"/>
      <c r="AZ195" s="1"/>
      <c r="BA195" s="1"/>
    </row>
    <row r="196" spans="2:53" x14ac:dyDescent="0.3">
      <c r="B196" s="279"/>
      <c r="C196" s="1"/>
      <c r="D196" s="1"/>
      <c r="E196" s="1"/>
      <c r="F196" s="1"/>
      <c r="G196" s="1"/>
      <c r="H196" s="1"/>
      <c r="I196" s="1"/>
      <c r="J196" s="1"/>
      <c r="K196" s="1"/>
      <c r="L196" s="1"/>
      <c r="M196" s="279"/>
      <c r="N196" s="279"/>
      <c r="O196" s="279"/>
      <c r="P196" s="279"/>
      <c r="Q196" s="1"/>
      <c r="R196" s="1"/>
      <c r="S196" s="1"/>
      <c r="T196" s="1"/>
      <c r="U196" s="1"/>
      <c r="V196" s="1"/>
      <c r="W196" s="1"/>
      <c r="X196" s="1"/>
      <c r="Y196" s="279"/>
      <c r="Z196" s="279"/>
      <c r="AA196" s="279"/>
      <c r="AB196" s="279"/>
      <c r="AC196" s="279"/>
      <c r="AD196" s="279"/>
      <c r="AE196" s="279"/>
      <c r="AF196" s="279"/>
      <c r="AG196" s="279"/>
      <c r="AH196" s="279"/>
      <c r="AI196" s="1"/>
      <c r="AJ196" s="1"/>
      <c r="AK196" s="1"/>
      <c r="AL196" s="1"/>
      <c r="AM196" s="1"/>
      <c r="AN196" s="1"/>
      <c r="AO196" s="1"/>
      <c r="AP196" s="1"/>
      <c r="AQ196" s="1"/>
      <c r="AR196" s="1"/>
      <c r="AS196" s="1"/>
      <c r="AT196" s="1"/>
      <c r="AU196" s="1"/>
      <c r="AV196" s="1"/>
      <c r="AW196" s="1"/>
      <c r="AX196" s="1"/>
      <c r="AY196" s="1"/>
      <c r="AZ196" s="1"/>
      <c r="BA196" s="1"/>
    </row>
    <row r="197" spans="2:53" x14ac:dyDescent="0.3">
      <c r="B197" s="279"/>
      <c r="C197" s="1"/>
      <c r="D197" s="1"/>
      <c r="E197" s="1"/>
      <c r="F197" s="1"/>
      <c r="G197" s="1"/>
      <c r="H197" s="1"/>
      <c r="I197" s="1"/>
      <c r="J197" s="1"/>
      <c r="K197" s="1"/>
      <c r="L197" s="1"/>
      <c r="M197" s="279"/>
      <c r="N197" s="279"/>
      <c r="O197" s="279"/>
      <c r="P197" s="279"/>
      <c r="Q197" s="1"/>
      <c r="R197" s="1"/>
      <c r="S197" s="1"/>
      <c r="T197" s="1"/>
      <c r="U197" s="1"/>
      <c r="V197" s="1"/>
      <c r="W197" s="1"/>
      <c r="X197" s="1"/>
      <c r="Y197" s="279"/>
      <c r="Z197" s="279"/>
      <c r="AA197" s="279"/>
      <c r="AB197" s="279"/>
      <c r="AC197" s="279"/>
      <c r="AD197" s="279"/>
      <c r="AE197" s="279"/>
      <c r="AF197" s="279"/>
      <c r="AG197" s="279"/>
      <c r="AH197" s="279"/>
      <c r="AI197" s="1"/>
      <c r="AJ197" s="1"/>
      <c r="AK197" s="1"/>
      <c r="AL197" s="1"/>
      <c r="AM197" s="1"/>
      <c r="AN197" s="1"/>
      <c r="AO197" s="1"/>
      <c r="AP197" s="1"/>
      <c r="AQ197" s="1"/>
      <c r="AR197" s="1"/>
      <c r="AS197" s="1"/>
      <c r="AT197" s="1"/>
      <c r="AU197" s="1"/>
      <c r="AV197" s="1"/>
      <c r="AW197" s="1"/>
      <c r="AX197" s="1"/>
      <c r="AY197" s="1"/>
      <c r="AZ197" s="1"/>
      <c r="BA197" s="1"/>
    </row>
    <row r="198" spans="2:53" x14ac:dyDescent="0.3">
      <c r="B198" s="279"/>
      <c r="C198" s="1"/>
      <c r="D198" s="1"/>
      <c r="E198" s="1"/>
      <c r="F198" s="1"/>
      <c r="G198" s="1"/>
      <c r="H198" s="1"/>
      <c r="I198" s="1"/>
      <c r="J198" s="1"/>
      <c r="K198" s="1"/>
      <c r="L198" s="1"/>
      <c r="M198" s="279"/>
      <c r="N198" s="279"/>
      <c r="O198" s="279"/>
      <c r="P198" s="279"/>
      <c r="Q198" s="1"/>
      <c r="R198" s="1"/>
      <c r="S198" s="1"/>
      <c r="T198" s="1"/>
      <c r="U198" s="1"/>
      <c r="V198" s="1"/>
      <c r="W198" s="1"/>
      <c r="X198" s="1"/>
      <c r="Y198" s="279"/>
      <c r="Z198" s="279"/>
      <c r="AA198" s="279"/>
      <c r="AB198" s="279"/>
      <c r="AC198" s="279"/>
      <c r="AD198" s="279"/>
      <c r="AE198" s="279"/>
      <c r="AF198" s="279"/>
      <c r="AG198" s="279"/>
      <c r="AH198" s="279"/>
      <c r="AI198" s="1"/>
      <c r="AJ198" s="1"/>
      <c r="AK198" s="1"/>
      <c r="AL198" s="1"/>
      <c r="AM198" s="1"/>
      <c r="AN198" s="1"/>
      <c r="AO198" s="1"/>
      <c r="AP198" s="1"/>
      <c r="AQ198" s="1"/>
      <c r="AR198" s="1"/>
      <c r="AS198" s="1"/>
      <c r="AT198" s="1"/>
      <c r="AU198" s="1"/>
      <c r="AV198" s="1"/>
      <c r="AW198" s="1"/>
      <c r="AX198" s="1"/>
      <c r="AY198" s="1"/>
      <c r="AZ198" s="1"/>
      <c r="BA198" s="1"/>
    </row>
    <row r="199" spans="2:53" x14ac:dyDescent="0.3">
      <c r="B199" s="279"/>
      <c r="C199" s="1"/>
      <c r="D199" s="1"/>
      <c r="E199" s="1"/>
      <c r="F199" s="1"/>
      <c r="G199" s="1"/>
      <c r="H199" s="1"/>
      <c r="I199" s="1"/>
      <c r="J199" s="1"/>
      <c r="K199" s="1"/>
      <c r="L199" s="1"/>
      <c r="M199" s="279"/>
      <c r="N199" s="279"/>
      <c r="O199" s="279"/>
      <c r="P199" s="279"/>
      <c r="Q199" s="1"/>
      <c r="R199" s="1"/>
      <c r="S199" s="1"/>
      <c r="T199" s="1"/>
      <c r="U199" s="1"/>
      <c r="V199" s="1"/>
      <c r="W199" s="1"/>
      <c r="X199" s="1"/>
      <c r="Y199" s="279"/>
      <c r="Z199" s="279"/>
      <c r="AA199" s="279"/>
      <c r="AB199" s="279"/>
      <c r="AC199" s="279"/>
      <c r="AD199" s="279"/>
      <c r="AE199" s="279"/>
      <c r="AF199" s="279"/>
      <c r="AG199" s="279"/>
      <c r="AH199" s="279"/>
      <c r="AI199" s="1"/>
      <c r="AJ199" s="1"/>
      <c r="AK199" s="1"/>
      <c r="AL199" s="1"/>
      <c r="AM199" s="1"/>
      <c r="AN199" s="1"/>
      <c r="AO199" s="1"/>
      <c r="AP199" s="1"/>
      <c r="AQ199" s="1"/>
      <c r="AR199" s="1"/>
      <c r="AS199" s="1"/>
      <c r="AT199" s="1"/>
      <c r="AU199" s="1"/>
      <c r="AV199" s="1"/>
      <c r="AW199" s="1"/>
      <c r="AX199" s="1"/>
      <c r="AY199" s="1"/>
      <c r="AZ199" s="1"/>
      <c r="BA199" s="1"/>
    </row>
    <row r="200" spans="2:53" x14ac:dyDescent="0.3">
      <c r="B200" s="279"/>
      <c r="C200" s="1"/>
      <c r="D200" s="1"/>
      <c r="E200" s="1"/>
      <c r="F200" s="1"/>
      <c r="G200" s="1"/>
      <c r="H200" s="1"/>
      <c r="I200" s="1"/>
      <c r="J200" s="1"/>
      <c r="K200" s="1"/>
      <c r="L200" s="1"/>
      <c r="M200" s="279"/>
      <c r="N200" s="279"/>
      <c r="O200" s="279"/>
      <c r="P200" s="279"/>
      <c r="Q200" s="1"/>
      <c r="R200" s="1"/>
      <c r="S200" s="1"/>
      <c r="T200" s="1"/>
      <c r="U200" s="1"/>
      <c r="V200" s="1"/>
      <c r="W200" s="1"/>
      <c r="X200" s="1"/>
      <c r="Y200" s="279"/>
      <c r="Z200" s="279"/>
      <c r="AA200" s="279"/>
      <c r="AB200" s="279"/>
      <c r="AC200" s="279"/>
      <c r="AD200" s="279"/>
      <c r="AE200" s="279"/>
      <c r="AF200" s="279"/>
      <c r="AG200" s="279"/>
      <c r="AH200" s="279"/>
      <c r="AI200" s="1"/>
      <c r="AJ200" s="1"/>
      <c r="AK200" s="1"/>
      <c r="AL200" s="1"/>
      <c r="AM200" s="1"/>
      <c r="AN200" s="1"/>
      <c r="AO200" s="1"/>
      <c r="AP200" s="1"/>
      <c r="AQ200" s="1"/>
      <c r="AR200" s="1"/>
      <c r="AS200" s="1"/>
      <c r="AT200" s="1"/>
      <c r="AU200" s="1"/>
      <c r="AV200" s="1"/>
      <c r="AW200" s="1"/>
      <c r="AX200" s="1"/>
      <c r="AY200" s="1"/>
      <c r="AZ200" s="1"/>
      <c r="BA200" s="1"/>
    </row>
    <row r="201" spans="2:53" x14ac:dyDescent="0.3">
      <c r="B201" s="279"/>
      <c r="C201" s="1"/>
      <c r="D201" s="1"/>
      <c r="E201" s="1"/>
      <c r="F201" s="1"/>
      <c r="G201" s="1"/>
      <c r="H201" s="1"/>
      <c r="I201" s="1"/>
      <c r="J201" s="1"/>
      <c r="K201" s="1"/>
      <c r="L201" s="1"/>
      <c r="M201" s="279"/>
      <c r="N201" s="279"/>
      <c r="O201" s="279"/>
      <c r="P201" s="279"/>
      <c r="Q201" s="1"/>
      <c r="R201" s="1"/>
      <c r="S201" s="1"/>
      <c r="T201" s="1"/>
      <c r="U201" s="1"/>
      <c r="V201" s="1"/>
      <c r="W201" s="1"/>
      <c r="X201" s="1"/>
      <c r="Y201" s="279"/>
      <c r="Z201" s="279"/>
      <c r="AA201" s="279"/>
      <c r="AB201" s="279"/>
      <c r="AC201" s="279"/>
      <c r="AD201" s="279"/>
      <c r="AE201" s="279"/>
      <c r="AF201" s="279"/>
      <c r="AG201" s="279"/>
      <c r="AH201" s="279"/>
      <c r="AI201" s="1"/>
      <c r="AJ201" s="1"/>
      <c r="AK201" s="1"/>
      <c r="AL201" s="1"/>
      <c r="AM201" s="1"/>
      <c r="AN201" s="1"/>
      <c r="AO201" s="1"/>
      <c r="AP201" s="1"/>
      <c r="AQ201" s="1"/>
      <c r="AR201" s="1"/>
      <c r="AS201" s="1"/>
      <c r="AT201" s="1"/>
      <c r="AU201" s="1"/>
      <c r="AV201" s="1"/>
      <c r="AW201" s="1"/>
      <c r="AX201" s="1"/>
      <c r="AY201" s="1"/>
      <c r="AZ201" s="1"/>
      <c r="BA201" s="1"/>
    </row>
    <row r="202" spans="2:53" x14ac:dyDescent="0.3">
      <c r="B202" s="279"/>
      <c r="C202" s="1"/>
      <c r="D202" s="1"/>
      <c r="E202" s="1"/>
      <c r="F202" s="1"/>
      <c r="G202" s="1"/>
      <c r="H202" s="1"/>
      <c r="I202" s="1"/>
      <c r="J202" s="1"/>
      <c r="K202" s="1"/>
      <c r="L202" s="1"/>
      <c r="M202" s="279"/>
      <c r="N202" s="279"/>
      <c r="O202" s="279"/>
      <c r="P202" s="279"/>
      <c r="Q202" s="1"/>
      <c r="R202" s="1"/>
      <c r="S202" s="1"/>
      <c r="T202" s="1"/>
      <c r="U202" s="1"/>
      <c r="V202" s="1"/>
      <c r="W202" s="1"/>
      <c r="X202" s="1"/>
      <c r="Y202" s="279"/>
      <c r="Z202" s="279"/>
      <c r="AA202" s="279"/>
      <c r="AB202" s="279"/>
      <c r="AC202" s="279"/>
      <c r="AD202" s="279"/>
      <c r="AE202" s="279"/>
      <c r="AF202" s="279"/>
      <c r="AG202" s="279"/>
      <c r="AH202" s="279"/>
      <c r="AI202" s="1"/>
      <c r="AJ202" s="1"/>
      <c r="AK202" s="1"/>
      <c r="AL202" s="1"/>
      <c r="AM202" s="1"/>
      <c r="AN202" s="1"/>
      <c r="AO202" s="1"/>
      <c r="AP202" s="1"/>
      <c r="AQ202" s="1"/>
      <c r="AR202" s="1"/>
      <c r="AS202" s="1"/>
      <c r="AT202" s="1"/>
      <c r="AU202" s="1"/>
      <c r="AV202" s="1"/>
      <c r="AW202" s="1"/>
      <c r="AX202" s="1"/>
      <c r="AY202" s="1"/>
      <c r="AZ202" s="1"/>
      <c r="BA202" s="1"/>
    </row>
    <row r="203" spans="2:53" x14ac:dyDescent="0.3">
      <c r="B203" s="279"/>
      <c r="C203" s="1"/>
      <c r="D203" s="1"/>
      <c r="E203" s="1"/>
      <c r="F203" s="1"/>
      <c r="G203" s="1"/>
      <c r="H203" s="1"/>
      <c r="I203" s="1"/>
      <c r="J203" s="1"/>
      <c r="K203" s="1"/>
      <c r="L203" s="1"/>
      <c r="M203" s="279"/>
      <c r="N203" s="279"/>
      <c r="O203" s="279"/>
      <c r="P203" s="279"/>
      <c r="Q203" s="1"/>
      <c r="R203" s="1"/>
      <c r="S203" s="1"/>
      <c r="T203" s="1"/>
      <c r="U203" s="1"/>
      <c r="V203" s="1"/>
      <c r="W203" s="1"/>
      <c r="X203" s="1"/>
      <c r="Y203" s="279"/>
      <c r="Z203" s="279"/>
      <c r="AA203" s="279"/>
      <c r="AB203" s="279"/>
      <c r="AC203" s="279"/>
      <c r="AD203" s="279"/>
      <c r="AE203" s="279"/>
      <c r="AF203" s="279"/>
      <c r="AG203" s="279"/>
      <c r="AH203" s="279"/>
      <c r="AI203" s="1"/>
      <c r="AJ203" s="1"/>
      <c r="AK203" s="1"/>
      <c r="AL203" s="1"/>
      <c r="AM203" s="1"/>
      <c r="AN203" s="1"/>
      <c r="AO203" s="1"/>
      <c r="AP203" s="1"/>
      <c r="AQ203" s="1"/>
      <c r="AR203" s="1"/>
      <c r="AS203" s="1"/>
      <c r="AT203" s="1"/>
      <c r="AU203" s="1"/>
      <c r="AV203" s="1"/>
      <c r="AW203" s="1"/>
      <c r="AX203" s="1"/>
      <c r="AY203" s="1"/>
      <c r="AZ203" s="1"/>
      <c r="BA203" s="1"/>
    </row>
    <row r="204" spans="2:53" x14ac:dyDescent="0.3">
      <c r="B204" s="279"/>
      <c r="C204" s="1"/>
      <c r="D204" s="1"/>
      <c r="E204" s="1"/>
      <c r="F204" s="1"/>
      <c r="G204" s="1"/>
      <c r="H204" s="1"/>
      <c r="I204" s="1"/>
      <c r="J204" s="1"/>
      <c r="K204" s="1"/>
      <c r="L204" s="1"/>
      <c r="M204" s="279"/>
      <c r="N204" s="279"/>
      <c r="O204" s="279"/>
      <c r="P204" s="279"/>
      <c r="Q204" s="1"/>
      <c r="R204" s="1"/>
      <c r="S204" s="1"/>
      <c r="T204" s="1"/>
      <c r="U204" s="1"/>
      <c r="V204" s="1"/>
      <c r="W204" s="1"/>
      <c r="X204" s="1"/>
      <c r="Y204" s="279"/>
      <c r="Z204" s="279"/>
      <c r="AA204" s="279"/>
      <c r="AB204" s="279"/>
      <c r="AC204" s="279"/>
      <c r="AD204" s="279"/>
      <c r="AE204" s="279"/>
      <c r="AF204" s="279"/>
      <c r="AG204" s="279"/>
      <c r="AH204" s="279"/>
      <c r="AI204" s="1"/>
      <c r="AJ204" s="1"/>
      <c r="AK204" s="1"/>
      <c r="AL204" s="1"/>
      <c r="AM204" s="1"/>
      <c r="AN204" s="1"/>
      <c r="AO204" s="1"/>
      <c r="AP204" s="1"/>
      <c r="AQ204" s="1"/>
      <c r="AR204" s="1"/>
      <c r="AS204" s="1"/>
      <c r="AT204" s="1"/>
      <c r="AU204" s="1"/>
      <c r="AV204" s="1"/>
      <c r="AW204" s="1"/>
      <c r="AX204" s="1"/>
      <c r="AY204" s="1"/>
      <c r="AZ204" s="1"/>
      <c r="BA204" s="1"/>
    </row>
    <row r="205" spans="2:53" x14ac:dyDescent="0.3">
      <c r="B205" s="279"/>
      <c r="C205" s="1"/>
      <c r="D205" s="1"/>
      <c r="E205" s="1"/>
      <c r="F205" s="1"/>
      <c r="G205" s="1"/>
      <c r="H205" s="1"/>
      <c r="I205" s="1"/>
      <c r="J205" s="1"/>
      <c r="K205" s="1"/>
      <c r="L205" s="1"/>
      <c r="M205" s="279"/>
      <c r="N205" s="279"/>
      <c r="O205" s="279"/>
      <c r="P205" s="279"/>
      <c r="Q205" s="1"/>
      <c r="R205" s="1"/>
      <c r="S205" s="1"/>
      <c r="T205" s="1"/>
      <c r="U205" s="1"/>
      <c r="V205" s="1"/>
      <c r="W205" s="1"/>
      <c r="X205" s="1"/>
      <c r="Y205" s="279"/>
      <c r="Z205" s="279"/>
      <c r="AA205" s="279"/>
      <c r="AB205" s="279"/>
      <c r="AC205" s="279"/>
      <c r="AD205" s="279"/>
      <c r="AE205" s="279"/>
      <c r="AF205" s="279"/>
      <c r="AG205" s="279"/>
      <c r="AH205" s="279"/>
      <c r="AI205" s="1"/>
      <c r="AJ205" s="1"/>
      <c r="AK205" s="1"/>
      <c r="AL205" s="1"/>
      <c r="AM205" s="1"/>
      <c r="AN205" s="1"/>
      <c r="AO205" s="1"/>
      <c r="AP205" s="1"/>
      <c r="AQ205" s="1"/>
      <c r="AR205" s="1"/>
      <c r="AS205" s="1"/>
      <c r="AT205" s="1"/>
      <c r="AU205" s="1"/>
      <c r="AV205" s="1"/>
      <c r="AW205" s="1"/>
      <c r="AX205" s="1"/>
      <c r="AY205" s="1"/>
      <c r="AZ205" s="1"/>
      <c r="BA205" s="1"/>
    </row>
    <row r="206" spans="2:53" x14ac:dyDescent="0.3">
      <c r="B206" s="279"/>
      <c r="C206" s="1"/>
      <c r="D206" s="1"/>
      <c r="E206" s="1"/>
      <c r="F206" s="1"/>
      <c r="G206" s="1"/>
      <c r="H206" s="1"/>
      <c r="I206" s="1"/>
      <c r="J206" s="1"/>
      <c r="K206" s="1"/>
      <c r="L206" s="1"/>
      <c r="M206" s="279"/>
      <c r="N206" s="279"/>
      <c r="O206" s="279"/>
      <c r="P206" s="279"/>
      <c r="Q206" s="1"/>
      <c r="R206" s="1"/>
      <c r="S206" s="1"/>
      <c r="T206" s="1"/>
      <c r="U206" s="1"/>
      <c r="V206" s="1"/>
      <c r="W206" s="1"/>
      <c r="X206" s="1"/>
      <c r="Y206" s="279"/>
      <c r="Z206" s="279"/>
      <c r="AA206" s="279"/>
      <c r="AB206" s="279"/>
      <c r="AC206" s="279"/>
      <c r="AD206" s="279"/>
      <c r="AE206" s="279"/>
      <c r="AF206" s="279"/>
      <c r="AG206" s="279"/>
      <c r="AH206" s="279"/>
      <c r="AI206" s="1"/>
      <c r="AJ206" s="1"/>
      <c r="AK206" s="1"/>
      <c r="AL206" s="1"/>
      <c r="AM206" s="1"/>
      <c r="AN206" s="1"/>
      <c r="AO206" s="1"/>
      <c r="AP206" s="1"/>
      <c r="AQ206" s="1"/>
      <c r="AR206" s="1"/>
      <c r="AS206" s="1"/>
      <c r="AT206" s="1"/>
      <c r="AU206" s="1"/>
      <c r="AV206" s="1"/>
      <c r="AW206" s="1"/>
      <c r="AX206" s="1"/>
      <c r="AY206" s="1"/>
      <c r="AZ206" s="1"/>
      <c r="BA206" s="1"/>
    </row>
    <row r="207" spans="2:53" x14ac:dyDescent="0.3">
      <c r="B207" s="279"/>
      <c r="C207" s="1"/>
      <c r="D207" s="1"/>
      <c r="E207" s="1"/>
      <c r="F207" s="1"/>
      <c r="G207" s="1"/>
      <c r="H207" s="1"/>
      <c r="I207" s="1"/>
      <c r="J207" s="1"/>
      <c r="K207" s="1"/>
      <c r="L207" s="1"/>
      <c r="M207" s="279"/>
      <c r="N207" s="279"/>
      <c r="O207" s="279"/>
      <c r="P207" s="279"/>
      <c r="Q207" s="1"/>
      <c r="R207" s="1"/>
      <c r="S207" s="1"/>
      <c r="T207" s="1"/>
      <c r="U207" s="1"/>
      <c r="V207" s="1"/>
      <c r="W207" s="1"/>
      <c r="X207" s="1"/>
      <c r="Y207" s="279"/>
      <c r="Z207" s="279"/>
      <c r="AA207" s="279"/>
      <c r="AB207" s="279"/>
      <c r="AC207" s="279"/>
      <c r="AD207" s="279"/>
      <c r="AE207" s="279"/>
      <c r="AF207" s="279"/>
      <c r="AG207" s="279"/>
      <c r="AH207" s="279"/>
      <c r="AI207" s="1"/>
      <c r="AJ207" s="1"/>
      <c r="AK207" s="1"/>
      <c r="AL207" s="1"/>
      <c r="AM207" s="1"/>
      <c r="AN207" s="1"/>
      <c r="AO207" s="1"/>
      <c r="AP207" s="1"/>
      <c r="AQ207" s="1"/>
      <c r="AR207" s="1"/>
      <c r="AS207" s="1"/>
      <c r="AT207" s="1"/>
      <c r="AU207" s="1"/>
      <c r="AV207" s="1"/>
      <c r="AW207" s="1"/>
      <c r="AX207" s="1"/>
      <c r="AY207" s="1"/>
      <c r="AZ207" s="1"/>
      <c r="BA207" s="1"/>
    </row>
    <row r="208" spans="2:53" x14ac:dyDescent="0.3">
      <c r="B208" s="279"/>
      <c r="C208" s="1"/>
      <c r="D208" s="1"/>
      <c r="E208" s="1"/>
      <c r="F208" s="1"/>
      <c r="G208" s="1"/>
      <c r="H208" s="1"/>
      <c r="I208" s="1"/>
      <c r="J208" s="1"/>
      <c r="K208" s="1"/>
      <c r="L208" s="1"/>
      <c r="M208" s="279"/>
      <c r="N208" s="279"/>
      <c r="O208" s="279"/>
      <c r="P208" s="279"/>
      <c r="Q208" s="1"/>
      <c r="R208" s="1"/>
      <c r="S208" s="1"/>
      <c r="T208" s="1"/>
      <c r="U208" s="1"/>
      <c r="V208" s="1"/>
      <c r="W208" s="1"/>
      <c r="X208" s="1"/>
      <c r="Y208" s="279"/>
      <c r="Z208" s="279"/>
      <c r="AA208" s="279"/>
      <c r="AB208" s="279"/>
      <c r="AC208" s="279"/>
      <c r="AD208" s="279"/>
      <c r="AE208" s="279"/>
      <c r="AF208" s="279"/>
      <c r="AG208" s="279"/>
      <c r="AH208" s="279"/>
      <c r="AI208" s="1"/>
      <c r="AJ208" s="1"/>
      <c r="AK208" s="1"/>
      <c r="AL208" s="1"/>
      <c r="AM208" s="1"/>
      <c r="AN208" s="1"/>
      <c r="AO208" s="1"/>
      <c r="AP208" s="1"/>
      <c r="AQ208" s="1"/>
      <c r="AR208" s="1"/>
      <c r="AS208" s="1"/>
      <c r="AT208" s="1"/>
      <c r="AU208" s="1"/>
      <c r="AV208" s="1"/>
      <c r="AW208" s="1"/>
      <c r="AX208" s="1"/>
      <c r="AY208" s="1"/>
      <c r="AZ208" s="1"/>
      <c r="BA208" s="1"/>
    </row>
    <row r="209" spans="2:53" x14ac:dyDescent="0.3">
      <c r="B209" s="279"/>
      <c r="C209" s="1"/>
      <c r="D209" s="1"/>
      <c r="E209" s="1"/>
      <c r="F209" s="1"/>
      <c r="G209" s="1"/>
      <c r="H209" s="1"/>
      <c r="I209" s="1"/>
      <c r="J209" s="1"/>
      <c r="K209" s="1"/>
      <c r="L209" s="1"/>
      <c r="M209" s="279"/>
      <c r="N209" s="279"/>
      <c r="O209" s="279"/>
      <c r="P209" s="279"/>
      <c r="Q209" s="1"/>
      <c r="R209" s="1"/>
      <c r="S209" s="1"/>
      <c r="T209" s="1"/>
      <c r="U209" s="1"/>
      <c r="V209" s="1"/>
      <c r="W209" s="1"/>
      <c r="X209" s="1"/>
      <c r="Y209" s="279"/>
      <c r="Z209" s="279"/>
      <c r="AA209" s="279"/>
      <c r="AB209" s="279"/>
      <c r="AC209" s="279"/>
      <c r="AD209" s="279"/>
      <c r="AE209" s="279"/>
      <c r="AF209" s="279"/>
      <c r="AG209" s="279"/>
      <c r="AH209" s="279"/>
      <c r="AI209" s="1"/>
      <c r="AJ209" s="1"/>
      <c r="AK209" s="1"/>
      <c r="AL209" s="1"/>
      <c r="AM209" s="1"/>
      <c r="AN209" s="1"/>
      <c r="AO209" s="1"/>
      <c r="AP209" s="1"/>
      <c r="AQ209" s="1"/>
      <c r="AR209" s="1"/>
      <c r="AS209" s="1"/>
      <c r="AT209" s="1"/>
      <c r="AU209" s="1"/>
      <c r="AV209" s="1"/>
      <c r="AW209" s="1"/>
      <c r="AX209" s="1"/>
      <c r="AY209" s="1"/>
      <c r="AZ209" s="1"/>
      <c r="BA209" s="1"/>
    </row>
    <row r="210" spans="2:53" x14ac:dyDescent="0.3">
      <c r="B210" s="279"/>
      <c r="C210" s="1"/>
      <c r="D210" s="1"/>
      <c r="E210" s="1"/>
      <c r="F210" s="1"/>
      <c r="G210" s="1"/>
      <c r="H210" s="1"/>
      <c r="I210" s="1"/>
      <c r="J210" s="1"/>
      <c r="K210" s="1"/>
      <c r="L210" s="1"/>
      <c r="M210" s="279"/>
      <c r="N210" s="279"/>
      <c r="O210" s="279"/>
      <c r="P210" s="279"/>
      <c r="Q210" s="1"/>
      <c r="R210" s="1"/>
      <c r="S210" s="1"/>
      <c r="T210" s="1"/>
      <c r="U210" s="1"/>
      <c r="V210" s="1"/>
      <c r="W210" s="1"/>
      <c r="X210" s="1"/>
      <c r="Y210" s="279"/>
      <c r="Z210" s="279"/>
      <c r="AA210" s="279"/>
      <c r="AB210" s="279"/>
      <c r="AC210" s="279"/>
      <c r="AD210" s="279"/>
      <c r="AE210" s="279"/>
      <c r="AF210" s="279"/>
      <c r="AG210" s="279"/>
      <c r="AH210" s="279"/>
      <c r="AI210" s="1"/>
      <c r="AJ210" s="1"/>
      <c r="AK210" s="1"/>
      <c r="AL210" s="1"/>
      <c r="AM210" s="1"/>
      <c r="AN210" s="1"/>
      <c r="AO210" s="1"/>
      <c r="AP210" s="1"/>
      <c r="AQ210" s="1"/>
      <c r="AR210" s="1"/>
      <c r="AS210" s="1"/>
      <c r="AT210" s="1"/>
      <c r="AU210" s="1"/>
      <c r="AV210" s="1"/>
      <c r="AW210" s="1"/>
      <c r="AX210" s="1"/>
      <c r="AY210" s="1"/>
      <c r="AZ210" s="1"/>
      <c r="BA210" s="1"/>
    </row>
    <row r="211" spans="2:53" x14ac:dyDescent="0.3">
      <c r="B211" s="279"/>
      <c r="C211" s="1"/>
      <c r="D211" s="1"/>
      <c r="E211" s="1"/>
      <c r="F211" s="1"/>
      <c r="G211" s="1"/>
      <c r="H211" s="1"/>
      <c r="I211" s="1"/>
      <c r="J211" s="1"/>
      <c r="K211" s="1"/>
      <c r="L211" s="1"/>
      <c r="M211" s="279"/>
      <c r="N211" s="279"/>
      <c r="O211" s="279"/>
      <c r="P211" s="279"/>
      <c r="Q211" s="1"/>
      <c r="R211" s="1"/>
      <c r="S211" s="1"/>
      <c r="T211" s="1"/>
      <c r="U211" s="1"/>
      <c r="V211" s="1"/>
      <c r="W211" s="1"/>
      <c r="X211" s="1"/>
      <c r="Y211" s="279"/>
      <c r="Z211" s="279"/>
      <c r="AA211" s="279"/>
      <c r="AB211" s="279"/>
      <c r="AC211" s="279"/>
      <c r="AD211" s="279"/>
      <c r="AE211" s="279"/>
      <c r="AF211" s="279"/>
      <c r="AG211" s="279"/>
      <c r="AH211" s="279"/>
      <c r="AI211" s="1"/>
      <c r="AJ211" s="1"/>
      <c r="AK211" s="1"/>
      <c r="AL211" s="1"/>
      <c r="AM211" s="1"/>
      <c r="AN211" s="1"/>
      <c r="AO211" s="1"/>
      <c r="AP211" s="1"/>
      <c r="AQ211" s="1"/>
      <c r="AR211" s="1"/>
      <c r="AS211" s="1"/>
      <c r="AT211" s="1"/>
      <c r="AU211" s="1"/>
      <c r="AV211" s="1"/>
      <c r="AW211" s="1"/>
      <c r="AX211" s="1"/>
      <c r="AY211" s="1"/>
      <c r="AZ211" s="1"/>
      <c r="BA211" s="1"/>
    </row>
    <row r="212" spans="2:53" x14ac:dyDescent="0.3">
      <c r="B212" s="279"/>
      <c r="C212" s="1"/>
      <c r="D212" s="1"/>
      <c r="E212" s="1"/>
      <c r="F212" s="1"/>
      <c r="G212" s="1"/>
      <c r="H212" s="1"/>
      <c r="I212" s="1"/>
      <c r="J212" s="1"/>
      <c r="K212" s="1"/>
      <c r="L212" s="1"/>
      <c r="M212" s="279"/>
      <c r="N212" s="279"/>
      <c r="O212" s="279"/>
      <c r="P212" s="279"/>
      <c r="Q212" s="1"/>
      <c r="R212" s="1"/>
      <c r="S212" s="1"/>
      <c r="T212" s="1"/>
      <c r="U212" s="1"/>
      <c r="V212" s="1"/>
      <c r="W212" s="1"/>
      <c r="X212" s="1"/>
      <c r="Y212" s="279"/>
      <c r="Z212" s="279"/>
      <c r="AA212" s="279"/>
      <c r="AB212" s="279"/>
      <c r="AC212" s="279"/>
      <c r="AD212" s="279"/>
      <c r="AE212" s="279"/>
      <c r="AF212" s="279"/>
      <c r="AG212" s="279"/>
      <c r="AH212" s="279"/>
      <c r="AI212" s="1"/>
      <c r="AJ212" s="1"/>
      <c r="AK212" s="1"/>
      <c r="AL212" s="1"/>
      <c r="AM212" s="1"/>
      <c r="AN212" s="1"/>
      <c r="AO212" s="1"/>
      <c r="AP212" s="1"/>
      <c r="AQ212" s="1"/>
      <c r="AR212" s="1"/>
      <c r="AS212" s="1"/>
      <c r="AT212" s="1"/>
      <c r="AU212" s="1"/>
      <c r="AV212" s="1"/>
      <c r="AW212" s="1"/>
      <c r="AX212" s="1"/>
      <c r="AY212" s="1"/>
      <c r="AZ212" s="1"/>
      <c r="BA212" s="1"/>
    </row>
    <row r="213" spans="2:53" x14ac:dyDescent="0.3">
      <c r="B213" s="279"/>
      <c r="C213" s="1"/>
      <c r="D213" s="1"/>
      <c r="E213" s="1"/>
      <c r="F213" s="1"/>
      <c r="G213" s="1"/>
      <c r="H213" s="1"/>
      <c r="I213" s="1"/>
      <c r="J213" s="1"/>
      <c r="K213" s="1"/>
      <c r="L213" s="1"/>
      <c r="M213" s="279"/>
      <c r="N213" s="279"/>
      <c r="O213" s="279"/>
      <c r="P213" s="279"/>
      <c r="Q213" s="1"/>
      <c r="R213" s="1"/>
      <c r="S213" s="1"/>
      <c r="T213" s="1"/>
      <c r="U213" s="1"/>
      <c r="V213" s="1"/>
      <c r="W213" s="1"/>
      <c r="X213" s="1"/>
      <c r="Y213" s="279"/>
      <c r="Z213" s="279"/>
      <c r="AA213" s="279"/>
      <c r="AB213" s="279"/>
      <c r="AC213" s="279"/>
      <c r="AD213" s="279"/>
      <c r="AE213" s="279"/>
      <c r="AF213" s="279"/>
      <c r="AG213" s="279"/>
      <c r="AH213" s="279"/>
      <c r="AI213" s="1"/>
      <c r="AJ213" s="1"/>
      <c r="AK213" s="1"/>
      <c r="AL213" s="1"/>
      <c r="AM213" s="1"/>
      <c r="AN213" s="1"/>
      <c r="AO213" s="1"/>
      <c r="AP213" s="1"/>
      <c r="AQ213" s="1"/>
      <c r="AR213" s="1"/>
      <c r="AS213" s="1"/>
      <c r="AT213" s="1"/>
      <c r="AU213" s="1"/>
      <c r="AV213" s="1"/>
      <c r="AW213" s="1"/>
      <c r="AX213" s="1"/>
      <c r="AY213" s="1"/>
      <c r="AZ213" s="1"/>
      <c r="BA213" s="1"/>
    </row>
    <row r="214" spans="2:53" x14ac:dyDescent="0.3">
      <c r="B214" s="279"/>
      <c r="C214" s="1"/>
      <c r="D214" s="1"/>
      <c r="E214" s="1"/>
      <c r="F214" s="1"/>
      <c r="G214" s="1"/>
      <c r="H214" s="1"/>
      <c r="I214" s="1"/>
      <c r="J214" s="1"/>
      <c r="K214" s="1"/>
      <c r="L214" s="1"/>
      <c r="M214" s="279"/>
      <c r="N214" s="279"/>
      <c r="O214" s="279"/>
      <c r="P214" s="279"/>
      <c r="Q214" s="1"/>
      <c r="R214" s="1"/>
      <c r="S214" s="1"/>
      <c r="T214" s="1"/>
      <c r="U214" s="1"/>
      <c r="V214" s="1"/>
      <c r="W214" s="1"/>
      <c r="X214" s="1"/>
      <c r="Y214" s="279"/>
      <c r="Z214" s="279"/>
      <c r="AA214" s="279"/>
      <c r="AB214" s="279"/>
      <c r="AC214" s="279"/>
      <c r="AD214" s="279"/>
      <c r="AE214" s="279"/>
      <c r="AF214" s="279"/>
      <c r="AG214" s="279"/>
      <c r="AH214" s="279"/>
      <c r="AI214" s="1"/>
      <c r="AJ214" s="1"/>
      <c r="AK214" s="1"/>
      <c r="AL214" s="1"/>
      <c r="AM214" s="1"/>
      <c r="AN214" s="1"/>
      <c r="AO214" s="1"/>
      <c r="AP214" s="1"/>
      <c r="AQ214" s="1"/>
      <c r="AR214" s="1"/>
      <c r="AS214" s="1"/>
      <c r="AT214" s="1"/>
      <c r="AU214" s="1"/>
      <c r="AV214" s="1"/>
      <c r="AW214" s="1"/>
      <c r="AX214" s="1"/>
      <c r="AY214" s="1"/>
      <c r="AZ214" s="1"/>
      <c r="BA214" s="1"/>
    </row>
    <row r="215" spans="2:53" x14ac:dyDescent="0.3">
      <c r="B215" s="279"/>
      <c r="C215" s="1"/>
      <c r="D215" s="1"/>
      <c r="E215" s="1"/>
      <c r="F215" s="1"/>
      <c r="G215" s="1"/>
      <c r="H215" s="1"/>
      <c r="I215" s="1"/>
      <c r="J215" s="1"/>
      <c r="K215" s="1"/>
      <c r="L215" s="1"/>
      <c r="M215" s="279"/>
      <c r="N215" s="279"/>
      <c r="O215" s="279"/>
      <c r="P215" s="279"/>
      <c r="Q215" s="1"/>
      <c r="R215" s="1"/>
      <c r="S215" s="1"/>
      <c r="T215" s="1"/>
      <c r="U215" s="1"/>
      <c r="V215" s="1"/>
      <c r="W215" s="1"/>
      <c r="X215" s="1"/>
      <c r="Y215" s="279"/>
      <c r="Z215" s="279"/>
      <c r="AA215" s="279"/>
      <c r="AB215" s="279"/>
      <c r="AC215" s="279"/>
      <c r="AD215" s="279"/>
      <c r="AE215" s="279"/>
      <c r="AF215" s="279"/>
      <c r="AG215" s="279"/>
      <c r="AH215" s="279"/>
      <c r="AI215" s="1"/>
      <c r="AJ215" s="1"/>
      <c r="AK215" s="1"/>
      <c r="AL215" s="1"/>
      <c r="AM215" s="1"/>
      <c r="AN215" s="1"/>
      <c r="AO215" s="1"/>
      <c r="AP215" s="1"/>
      <c r="AQ215" s="1"/>
      <c r="AR215" s="1"/>
      <c r="AS215" s="1"/>
      <c r="AT215" s="1"/>
      <c r="AU215" s="1"/>
      <c r="AV215" s="1"/>
      <c r="AW215" s="1"/>
      <c r="AX215" s="1"/>
      <c r="AY215" s="1"/>
      <c r="AZ215" s="1"/>
      <c r="BA215" s="1"/>
    </row>
    <row r="216" spans="2:53" x14ac:dyDescent="0.3">
      <c r="B216" s="279"/>
      <c r="C216" s="1"/>
      <c r="D216" s="1"/>
      <c r="E216" s="1"/>
      <c r="F216" s="1"/>
      <c r="G216" s="1"/>
      <c r="H216" s="1"/>
      <c r="I216" s="1"/>
      <c r="J216" s="1"/>
      <c r="K216" s="1"/>
      <c r="L216" s="1"/>
      <c r="M216" s="279"/>
      <c r="N216" s="279"/>
      <c r="O216" s="279"/>
      <c r="P216" s="279"/>
      <c r="Q216" s="1"/>
      <c r="R216" s="1"/>
      <c r="S216" s="1"/>
      <c r="T216" s="1"/>
      <c r="U216" s="1"/>
      <c r="V216" s="1"/>
      <c r="W216" s="1"/>
      <c r="X216" s="1"/>
      <c r="Y216" s="279"/>
      <c r="Z216" s="279"/>
      <c r="AA216" s="279"/>
      <c r="AB216" s="279"/>
      <c r="AC216" s="279"/>
      <c r="AD216" s="279"/>
      <c r="AE216" s="279"/>
      <c r="AF216" s="279"/>
      <c r="AG216" s="279"/>
      <c r="AH216" s="279"/>
      <c r="AI216" s="1"/>
      <c r="AJ216" s="1"/>
      <c r="AK216" s="1"/>
      <c r="AL216" s="1"/>
      <c r="AM216" s="1"/>
      <c r="AN216" s="1"/>
      <c r="AO216" s="1"/>
      <c r="AP216" s="1"/>
      <c r="AQ216" s="1"/>
      <c r="AR216" s="1"/>
      <c r="AS216" s="1"/>
      <c r="AT216" s="1"/>
      <c r="AU216" s="1"/>
      <c r="AV216" s="1"/>
      <c r="AW216" s="1"/>
      <c r="AX216" s="1"/>
      <c r="AY216" s="1"/>
      <c r="AZ216" s="1"/>
      <c r="BA216" s="1"/>
    </row>
    <row r="217" spans="2:53" x14ac:dyDescent="0.3">
      <c r="B217" s="279"/>
      <c r="C217" s="1"/>
      <c r="D217" s="1"/>
      <c r="E217" s="1"/>
      <c r="F217" s="1"/>
      <c r="G217" s="1"/>
      <c r="H217" s="1"/>
      <c r="I217" s="1"/>
      <c r="J217" s="1"/>
      <c r="K217" s="1"/>
      <c r="L217" s="1"/>
      <c r="M217" s="279"/>
      <c r="N217" s="279"/>
      <c r="O217" s="279"/>
      <c r="P217" s="279"/>
      <c r="Q217" s="1"/>
      <c r="R217" s="1"/>
      <c r="S217" s="1"/>
      <c r="T217" s="1"/>
      <c r="U217" s="1"/>
      <c r="V217" s="1"/>
      <c r="W217" s="1"/>
      <c r="X217" s="1"/>
      <c r="Y217" s="279"/>
      <c r="Z217" s="279"/>
      <c r="AA217" s="279"/>
      <c r="AB217" s="279"/>
      <c r="AC217" s="279"/>
      <c r="AD217" s="279"/>
      <c r="AE217" s="279"/>
      <c r="AF217" s="279"/>
      <c r="AG217" s="279"/>
      <c r="AH217" s="279"/>
      <c r="AI217" s="1"/>
      <c r="AJ217" s="1"/>
      <c r="AK217" s="1"/>
      <c r="AL217" s="1"/>
      <c r="AM217" s="1"/>
      <c r="AN217" s="1"/>
      <c r="AO217" s="1"/>
      <c r="AP217" s="1"/>
      <c r="AQ217" s="1"/>
      <c r="AR217" s="1"/>
      <c r="AS217" s="1"/>
      <c r="AT217" s="1"/>
      <c r="AU217" s="1"/>
      <c r="AV217" s="1"/>
      <c r="AW217" s="1"/>
      <c r="AX217" s="1"/>
      <c r="AY217" s="1"/>
      <c r="AZ217" s="1"/>
      <c r="BA217" s="1"/>
    </row>
    <row r="218" spans="2:53" x14ac:dyDescent="0.3">
      <c r="B218" s="279"/>
      <c r="C218" s="1"/>
      <c r="D218" s="1"/>
      <c r="E218" s="1"/>
      <c r="F218" s="1"/>
      <c r="G218" s="1"/>
      <c r="H218" s="1"/>
      <c r="I218" s="1"/>
      <c r="J218" s="1"/>
      <c r="K218" s="1"/>
      <c r="L218" s="1"/>
      <c r="M218" s="279"/>
      <c r="N218" s="279"/>
      <c r="O218" s="279"/>
      <c r="P218" s="279"/>
      <c r="Q218" s="1"/>
      <c r="R218" s="1"/>
      <c r="S218" s="1"/>
      <c r="T218" s="1"/>
      <c r="U218" s="1"/>
      <c r="V218" s="1"/>
      <c r="W218" s="1"/>
      <c r="X218" s="1"/>
      <c r="Y218" s="279"/>
      <c r="Z218" s="279"/>
      <c r="AA218" s="279"/>
      <c r="AB218" s="279"/>
      <c r="AC218" s="279"/>
      <c r="AD218" s="279"/>
      <c r="AE218" s="279"/>
      <c r="AF218" s="279"/>
      <c r="AG218" s="279"/>
      <c r="AH218" s="279"/>
      <c r="AI218" s="1"/>
      <c r="AJ218" s="1"/>
      <c r="AK218" s="1"/>
      <c r="AL218" s="1"/>
      <c r="AM218" s="1"/>
      <c r="AN218" s="1"/>
      <c r="AO218" s="1"/>
      <c r="AP218" s="1"/>
      <c r="AQ218" s="1"/>
      <c r="AR218" s="1"/>
      <c r="AS218" s="1"/>
      <c r="AT218" s="1"/>
      <c r="AU218" s="1"/>
      <c r="AV218" s="1"/>
      <c r="AW218" s="1"/>
      <c r="AX218" s="1"/>
      <c r="AY218" s="1"/>
      <c r="AZ218" s="1"/>
      <c r="BA218" s="1"/>
    </row>
    <row r="219" spans="2:53" x14ac:dyDescent="0.3">
      <c r="B219" s="279"/>
      <c r="C219" s="1"/>
      <c r="D219" s="1"/>
      <c r="E219" s="1"/>
      <c r="F219" s="1"/>
      <c r="G219" s="1"/>
      <c r="H219" s="1"/>
      <c r="I219" s="1"/>
      <c r="J219" s="1"/>
      <c r="K219" s="1"/>
      <c r="L219" s="1"/>
      <c r="M219" s="279"/>
      <c r="N219" s="279"/>
      <c r="O219" s="279"/>
      <c r="P219" s="279"/>
      <c r="Q219" s="1"/>
      <c r="R219" s="1"/>
      <c r="S219" s="1"/>
      <c r="T219" s="1"/>
      <c r="U219" s="1"/>
      <c r="V219" s="1"/>
      <c r="W219" s="1"/>
      <c r="X219" s="1"/>
      <c r="Y219" s="279"/>
      <c r="Z219" s="279"/>
      <c r="AA219" s="279"/>
      <c r="AB219" s="279"/>
      <c r="AC219" s="279"/>
      <c r="AD219" s="279"/>
      <c r="AE219" s="279"/>
      <c r="AF219" s="279"/>
      <c r="AG219" s="279"/>
      <c r="AH219" s="279"/>
      <c r="AI219" s="1"/>
      <c r="AJ219" s="1"/>
      <c r="AK219" s="1"/>
      <c r="AL219" s="1"/>
      <c r="AM219" s="1"/>
      <c r="AN219" s="1"/>
      <c r="AO219" s="1"/>
      <c r="AP219" s="1"/>
      <c r="AQ219" s="1"/>
      <c r="AR219" s="1"/>
      <c r="AS219" s="1"/>
      <c r="AT219" s="1"/>
      <c r="AU219" s="1"/>
      <c r="AV219" s="1"/>
      <c r="AW219" s="1"/>
      <c r="AX219" s="1"/>
      <c r="AY219" s="1"/>
      <c r="AZ219" s="1"/>
      <c r="BA219" s="1"/>
    </row>
    <row r="220" spans="2:53" x14ac:dyDescent="0.3">
      <c r="B220" s="279"/>
      <c r="C220" s="1"/>
      <c r="D220" s="1"/>
      <c r="E220" s="1"/>
      <c r="F220" s="1"/>
      <c r="G220" s="1"/>
      <c r="H220" s="1"/>
      <c r="I220" s="1"/>
      <c r="J220" s="1"/>
      <c r="K220" s="1"/>
      <c r="L220" s="1"/>
      <c r="M220" s="279"/>
      <c r="N220" s="279"/>
      <c r="O220" s="279"/>
      <c r="P220" s="279"/>
      <c r="Q220" s="1"/>
      <c r="R220" s="1"/>
      <c r="S220" s="1"/>
      <c r="T220" s="1"/>
      <c r="U220" s="1"/>
      <c r="V220" s="1"/>
      <c r="W220" s="1"/>
      <c r="X220" s="1"/>
      <c r="Y220" s="279"/>
      <c r="Z220" s="279"/>
      <c r="AA220" s="279"/>
      <c r="AB220" s="279"/>
      <c r="AC220" s="279"/>
      <c r="AD220" s="279"/>
      <c r="AE220" s="279"/>
      <c r="AF220" s="279"/>
      <c r="AG220" s="279"/>
      <c r="AH220" s="279"/>
      <c r="AI220" s="1"/>
      <c r="AJ220" s="1"/>
      <c r="AK220" s="1"/>
      <c r="AL220" s="1"/>
      <c r="AM220" s="1"/>
      <c r="AN220" s="1"/>
      <c r="AO220" s="1"/>
      <c r="AP220" s="1"/>
      <c r="AQ220" s="1"/>
      <c r="AR220" s="1"/>
      <c r="AS220" s="1"/>
      <c r="AT220" s="1"/>
      <c r="AU220" s="1"/>
      <c r="AV220" s="1"/>
      <c r="AW220" s="1"/>
      <c r="AX220" s="1"/>
      <c r="AY220" s="1"/>
      <c r="AZ220" s="1"/>
      <c r="BA220" s="1"/>
    </row>
    <row r="221" spans="2:53" x14ac:dyDescent="0.3">
      <c r="B221" s="279"/>
      <c r="C221" s="1"/>
      <c r="D221" s="1"/>
      <c r="E221" s="1"/>
      <c r="F221" s="1"/>
      <c r="G221" s="1"/>
      <c r="H221" s="1"/>
      <c r="I221" s="1"/>
      <c r="J221" s="1"/>
      <c r="K221" s="1"/>
      <c r="L221" s="1"/>
      <c r="M221" s="279"/>
      <c r="N221" s="279"/>
      <c r="O221" s="279"/>
      <c r="P221" s="279"/>
      <c r="Q221" s="1"/>
      <c r="R221" s="1"/>
      <c r="S221" s="1"/>
      <c r="T221" s="1"/>
      <c r="U221" s="1"/>
      <c r="V221" s="1"/>
      <c r="W221" s="1"/>
      <c r="X221" s="1"/>
      <c r="Y221" s="279"/>
      <c r="Z221" s="279"/>
      <c r="AA221" s="279"/>
      <c r="AB221" s="279"/>
      <c r="AC221" s="279"/>
      <c r="AD221" s="279"/>
      <c r="AE221" s="279"/>
      <c r="AF221" s="279"/>
      <c r="AG221" s="279"/>
      <c r="AH221" s="279"/>
      <c r="AI221" s="1"/>
      <c r="AJ221" s="1"/>
      <c r="AK221" s="1"/>
      <c r="AL221" s="1"/>
      <c r="AM221" s="1"/>
      <c r="AN221" s="1"/>
      <c r="AO221" s="1"/>
      <c r="AP221" s="1"/>
      <c r="AQ221" s="1"/>
      <c r="AR221" s="1"/>
      <c r="AS221" s="1"/>
      <c r="AT221" s="1"/>
      <c r="AU221" s="1"/>
      <c r="AV221" s="1"/>
      <c r="AW221" s="1"/>
      <c r="AX221" s="1"/>
      <c r="AY221" s="1"/>
      <c r="AZ221" s="1"/>
      <c r="BA221" s="1"/>
    </row>
    <row r="222" spans="2:53" x14ac:dyDescent="0.3">
      <c r="B222" s="279"/>
      <c r="C222" s="1"/>
      <c r="D222" s="1"/>
      <c r="E222" s="1"/>
      <c r="F222" s="1"/>
      <c r="G222" s="1"/>
      <c r="H222" s="1"/>
      <c r="I222" s="1"/>
      <c r="J222" s="1"/>
      <c r="K222" s="1"/>
      <c r="L222" s="1"/>
      <c r="M222" s="279"/>
      <c r="N222" s="279"/>
      <c r="O222" s="279"/>
      <c r="P222" s="279"/>
      <c r="Q222" s="1"/>
      <c r="R222" s="1"/>
      <c r="S222" s="1"/>
      <c r="T222" s="1"/>
      <c r="U222" s="1"/>
      <c r="V222" s="1"/>
      <c r="W222" s="1"/>
      <c r="X222" s="1"/>
      <c r="Y222" s="279"/>
      <c r="Z222" s="279"/>
      <c r="AA222" s="279"/>
      <c r="AB222" s="279"/>
      <c r="AC222" s="279"/>
      <c r="AD222" s="279"/>
      <c r="AE222" s="279"/>
      <c r="AF222" s="279"/>
      <c r="AG222" s="279"/>
      <c r="AH222" s="279"/>
      <c r="AI222" s="1"/>
      <c r="AJ222" s="1"/>
      <c r="AK222" s="1"/>
      <c r="AL222" s="1"/>
      <c r="AM222" s="1"/>
      <c r="AN222" s="1"/>
      <c r="AO222" s="1"/>
      <c r="AP222" s="1"/>
      <c r="AQ222" s="1"/>
      <c r="AR222" s="1"/>
      <c r="AS222" s="1"/>
      <c r="AT222" s="1"/>
      <c r="AU222" s="1"/>
      <c r="AV222" s="1"/>
      <c r="AW222" s="1"/>
      <c r="AX222" s="1"/>
      <c r="AY222" s="1"/>
      <c r="AZ222" s="1"/>
      <c r="BA222" s="1"/>
    </row>
    <row r="223" spans="2:53" x14ac:dyDescent="0.3">
      <c r="B223" s="279"/>
      <c r="C223" s="1"/>
      <c r="D223" s="1"/>
      <c r="E223" s="1"/>
      <c r="F223" s="1"/>
      <c r="G223" s="1"/>
      <c r="H223" s="1"/>
      <c r="I223" s="1"/>
      <c r="J223" s="1"/>
      <c r="K223" s="1"/>
      <c r="L223" s="1"/>
      <c r="M223" s="279"/>
      <c r="N223" s="279"/>
      <c r="O223" s="279"/>
      <c r="P223" s="279"/>
      <c r="Q223" s="1"/>
      <c r="R223" s="1"/>
      <c r="S223" s="1"/>
      <c r="T223" s="1"/>
      <c r="U223" s="1"/>
      <c r="V223" s="1"/>
      <c r="W223" s="1"/>
      <c r="X223" s="1"/>
      <c r="Y223" s="279"/>
      <c r="Z223" s="279"/>
      <c r="AA223" s="279"/>
      <c r="AB223" s="279"/>
      <c r="AC223" s="279"/>
      <c r="AD223" s="279"/>
      <c r="AE223" s="279"/>
      <c r="AF223" s="279"/>
      <c r="AG223" s="279"/>
      <c r="AH223" s="279"/>
      <c r="AI223" s="1"/>
      <c r="AJ223" s="1"/>
      <c r="AK223" s="1"/>
      <c r="AL223" s="1"/>
      <c r="AM223" s="1"/>
      <c r="AN223" s="1"/>
      <c r="AO223" s="1"/>
      <c r="AP223" s="1"/>
      <c r="AQ223" s="1"/>
      <c r="AR223" s="1"/>
      <c r="AS223" s="1"/>
      <c r="AT223" s="1"/>
      <c r="AU223" s="1"/>
      <c r="AV223" s="1"/>
      <c r="AW223" s="1"/>
      <c r="AX223" s="1"/>
      <c r="AY223" s="1"/>
      <c r="AZ223" s="1"/>
      <c r="BA223" s="1"/>
    </row>
    <row r="224" spans="2:53" x14ac:dyDescent="0.3">
      <c r="B224" s="279"/>
      <c r="C224" s="1"/>
      <c r="D224" s="1"/>
      <c r="E224" s="1"/>
      <c r="F224" s="1"/>
      <c r="G224" s="1"/>
      <c r="H224" s="1"/>
      <c r="I224" s="1"/>
      <c r="J224" s="1"/>
      <c r="K224" s="1"/>
      <c r="L224" s="1"/>
      <c r="M224" s="279"/>
      <c r="N224" s="279"/>
      <c r="O224" s="279"/>
      <c r="P224" s="279"/>
      <c r="Q224" s="1"/>
      <c r="R224" s="1"/>
      <c r="S224" s="1"/>
      <c r="T224" s="1"/>
      <c r="U224" s="1"/>
      <c r="V224" s="1"/>
      <c r="W224" s="1"/>
      <c r="X224" s="1"/>
      <c r="Y224" s="279"/>
      <c r="Z224" s="279"/>
      <c r="AA224" s="279"/>
      <c r="AB224" s="279"/>
      <c r="AC224" s="279"/>
      <c r="AD224" s="279"/>
      <c r="AE224" s="279"/>
      <c r="AF224" s="279"/>
      <c r="AG224" s="279"/>
      <c r="AH224" s="279"/>
      <c r="AI224" s="1"/>
      <c r="AJ224" s="1"/>
      <c r="AK224" s="1"/>
      <c r="AL224" s="1"/>
      <c r="AM224" s="1"/>
      <c r="AN224" s="1"/>
      <c r="AO224" s="1"/>
      <c r="AP224" s="1"/>
      <c r="AQ224" s="1"/>
      <c r="AR224" s="1"/>
      <c r="AS224" s="1"/>
      <c r="AT224" s="1"/>
      <c r="AU224" s="1"/>
      <c r="AV224" s="1"/>
      <c r="AW224" s="1"/>
      <c r="AX224" s="1"/>
      <c r="AY224" s="1"/>
      <c r="AZ224" s="1"/>
      <c r="BA224" s="1"/>
    </row>
    <row r="225" spans="2:53" x14ac:dyDescent="0.3">
      <c r="B225" s="279"/>
      <c r="C225" s="1"/>
      <c r="D225" s="1"/>
      <c r="E225" s="1"/>
      <c r="F225" s="1"/>
      <c r="G225" s="1"/>
      <c r="H225" s="1"/>
      <c r="I225" s="1"/>
      <c r="J225" s="1"/>
      <c r="K225" s="1"/>
      <c r="L225" s="1"/>
      <c r="M225" s="279"/>
      <c r="N225" s="279"/>
      <c r="O225" s="279"/>
      <c r="P225" s="279"/>
      <c r="Q225" s="1"/>
      <c r="R225" s="1"/>
      <c r="S225" s="1"/>
      <c r="T225" s="1"/>
      <c r="U225" s="1"/>
      <c r="V225" s="1"/>
      <c r="W225" s="1"/>
      <c r="X225" s="1"/>
      <c r="Y225" s="279"/>
      <c r="Z225" s="279"/>
      <c r="AA225" s="279"/>
      <c r="AB225" s="279"/>
      <c r="AC225" s="279"/>
      <c r="AD225" s="279"/>
      <c r="AE225" s="279"/>
      <c r="AF225" s="279"/>
      <c r="AG225" s="279"/>
      <c r="AH225" s="279"/>
      <c r="AI225" s="1"/>
      <c r="AJ225" s="1"/>
      <c r="AK225" s="1"/>
      <c r="AL225" s="1"/>
      <c r="AM225" s="1"/>
      <c r="AN225" s="1"/>
      <c r="AO225" s="1"/>
      <c r="AP225" s="1"/>
      <c r="AQ225" s="1"/>
      <c r="AR225" s="1"/>
      <c r="AS225" s="1"/>
      <c r="AT225" s="1"/>
      <c r="AU225" s="1"/>
      <c r="AV225" s="1"/>
      <c r="AW225" s="1"/>
      <c r="AX225" s="1"/>
      <c r="AY225" s="1"/>
      <c r="AZ225" s="1"/>
      <c r="BA225" s="1"/>
    </row>
    <row r="226" spans="2:53" x14ac:dyDescent="0.3">
      <c r="B226" s="279"/>
      <c r="C226" s="1"/>
      <c r="D226" s="1"/>
      <c r="E226" s="1"/>
      <c r="F226" s="1"/>
      <c r="G226" s="1"/>
      <c r="H226" s="1"/>
      <c r="I226" s="1"/>
      <c r="J226" s="1"/>
      <c r="K226" s="1"/>
      <c r="L226" s="1"/>
      <c r="M226" s="279"/>
      <c r="N226" s="279"/>
      <c r="O226" s="279"/>
      <c r="P226" s="279"/>
      <c r="Q226" s="1"/>
      <c r="R226" s="1"/>
      <c r="S226" s="1"/>
      <c r="T226" s="1"/>
      <c r="U226" s="1"/>
      <c r="V226" s="1"/>
      <c r="W226" s="1"/>
      <c r="X226" s="1"/>
      <c r="Y226" s="279"/>
      <c r="Z226" s="279"/>
      <c r="AA226" s="279"/>
      <c r="AB226" s="279"/>
      <c r="AC226" s="279"/>
      <c r="AD226" s="279"/>
      <c r="AE226" s="279"/>
      <c r="AF226" s="279"/>
      <c r="AG226" s="279"/>
      <c r="AH226" s="279"/>
      <c r="AI226" s="1"/>
      <c r="AJ226" s="1"/>
      <c r="AK226" s="1"/>
      <c r="AL226" s="1"/>
      <c r="AM226" s="1"/>
      <c r="AN226" s="1"/>
      <c r="AO226" s="1"/>
      <c r="AP226" s="1"/>
      <c r="AQ226" s="1"/>
      <c r="AR226" s="1"/>
      <c r="AS226" s="1"/>
      <c r="AT226" s="1"/>
      <c r="AU226" s="1"/>
      <c r="AV226" s="1"/>
      <c r="AW226" s="1"/>
      <c r="AX226" s="1"/>
      <c r="AY226" s="1"/>
      <c r="AZ226" s="1"/>
      <c r="BA226" s="1"/>
    </row>
    <row r="227" spans="2:53" x14ac:dyDescent="0.3">
      <c r="B227" s="279"/>
      <c r="C227" s="1"/>
      <c r="D227" s="1"/>
      <c r="E227" s="1"/>
      <c r="F227" s="1"/>
      <c r="G227" s="1"/>
      <c r="H227" s="1"/>
      <c r="I227" s="1"/>
      <c r="J227" s="1"/>
      <c r="K227" s="1"/>
      <c r="L227" s="1"/>
      <c r="M227" s="279"/>
      <c r="N227" s="279"/>
      <c r="O227" s="279"/>
      <c r="P227" s="279"/>
      <c r="Q227" s="1"/>
      <c r="R227" s="1"/>
      <c r="S227" s="1"/>
      <c r="T227" s="1"/>
      <c r="U227" s="1"/>
      <c r="V227" s="1"/>
      <c r="W227" s="1"/>
      <c r="X227" s="1"/>
      <c r="Y227" s="279"/>
      <c r="Z227" s="279"/>
      <c r="AA227" s="279"/>
      <c r="AB227" s="279"/>
      <c r="AC227" s="279"/>
      <c r="AD227" s="279"/>
      <c r="AE227" s="279"/>
      <c r="AF227" s="279"/>
      <c r="AG227" s="279"/>
      <c r="AH227" s="279"/>
      <c r="AI227" s="1"/>
      <c r="AJ227" s="1"/>
      <c r="AK227" s="1"/>
      <c r="AL227" s="1"/>
      <c r="AM227" s="1"/>
      <c r="AN227" s="1"/>
      <c r="AO227" s="1"/>
      <c r="AP227" s="1"/>
      <c r="AQ227" s="1"/>
      <c r="AR227" s="1"/>
      <c r="AS227" s="1"/>
      <c r="AT227" s="1"/>
      <c r="AU227" s="1"/>
      <c r="AV227" s="1"/>
      <c r="AW227" s="1"/>
      <c r="AX227" s="1"/>
      <c r="AY227" s="1"/>
      <c r="AZ227" s="1"/>
      <c r="BA227" s="1"/>
    </row>
    <row r="228" spans="2:53" x14ac:dyDescent="0.3">
      <c r="B228" s="279"/>
      <c r="C228" s="1"/>
      <c r="D228" s="1"/>
      <c r="E228" s="1"/>
      <c r="F228" s="1"/>
      <c r="G228" s="1"/>
      <c r="H228" s="1"/>
      <c r="I228" s="1"/>
      <c r="J228" s="1"/>
      <c r="K228" s="1"/>
      <c r="L228" s="1"/>
      <c r="M228" s="279"/>
      <c r="N228" s="279"/>
      <c r="O228" s="279"/>
      <c r="P228" s="279"/>
      <c r="Q228" s="1"/>
      <c r="R228" s="1"/>
      <c r="S228" s="1"/>
      <c r="T228" s="1"/>
      <c r="U228" s="1"/>
      <c r="V228" s="1"/>
      <c r="W228" s="1"/>
      <c r="X228" s="1"/>
      <c r="Y228" s="279"/>
      <c r="Z228" s="279"/>
      <c r="AA228" s="279"/>
      <c r="AB228" s="279"/>
      <c r="AC228" s="279"/>
      <c r="AD228" s="279"/>
      <c r="AE228" s="279"/>
      <c r="AF228" s="279"/>
      <c r="AG228" s="279"/>
      <c r="AH228" s="279"/>
      <c r="AI228" s="1"/>
      <c r="AJ228" s="1"/>
      <c r="AK228" s="1"/>
      <c r="AL228" s="1"/>
      <c r="AM228" s="1"/>
      <c r="AN228" s="1"/>
      <c r="AO228" s="1"/>
      <c r="AP228" s="1"/>
      <c r="AQ228" s="1"/>
      <c r="AR228" s="1"/>
      <c r="AS228" s="1"/>
      <c r="AT228" s="1"/>
      <c r="AU228" s="1"/>
      <c r="AV228" s="1"/>
      <c r="AW228" s="1"/>
      <c r="AX228" s="1"/>
      <c r="AY228" s="1"/>
      <c r="AZ228" s="1"/>
      <c r="BA228" s="1"/>
    </row>
    <row r="229" spans="2:53" x14ac:dyDescent="0.3">
      <c r="B229" s="279"/>
      <c r="C229" s="1"/>
      <c r="D229" s="1"/>
      <c r="E229" s="1"/>
      <c r="F229" s="1"/>
      <c r="G229" s="1"/>
      <c r="H229" s="1"/>
      <c r="I229" s="1"/>
      <c r="J229" s="1"/>
      <c r="K229" s="1"/>
      <c r="L229" s="1"/>
      <c r="M229" s="279"/>
      <c r="N229" s="279"/>
      <c r="O229" s="279"/>
      <c r="P229" s="279"/>
      <c r="Q229" s="1"/>
      <c r="R229" s="1"/>
      <c r="S229" s="1"/>
      <c r="T229" s="1"/>
      <c r="U229" s="1"/>
      <c r="V229" s="1"/>
      <c r="W229" s="1"/>
      <c r="X229" s="1"/>
      <c r="Y229" s="279"/>
      <c r="Z229" s="279"/>
      <c r="AA229" s="279"/>
      <c r="AB229" s="279"/>
      <c r="AC229" s="279"/>
      <c r="AD229" s="279"/>
      <c r="AE229" s="279"/>
      <c r="AF229" s="279"/>
      <c r="AG229" s="279"/>
      <c r="AH229" s="279"/>
      <c r="AI229" s="1"/>
      <c r="AJ229" s="1"/>
      <c r="AK229" s="1"/>
      <c r="AL229" s="1"/>
      <c r="AM229" s="1"/>
      <c r="AN229" s="1"/>
      <c r="AO229" s="1"/>
      <c r="AP229" s="1"/>
      <c r="AQ229" s="1"/>
      <c r="AR229" s="1"/>
      <c r="AS229" s="1"/>
      <c r="AT229" s="1"/>
      <c r="AU229" s="1"/>
      <c r="AV229" s="1"/>
      <c r="AW229" s="1"/>
      <c r="AX229" s="1"/>
      <c r="AY229" s="1"/>
      <c r="AZ229" s="1"/>
      <c r="BA229" s="1"/>
    </row>
    <row r="230" spans="2:53" x14ac:dyDescent="0.3">
      <c r="Q230" s="1"/>
      <c r="R230" s="1"/>
      <c r="S230" s="1"/>
      <c r="T230" s="1"/>
      <c r="U230" s="1"/>
      <c r="V230" s="1"/>
      <c r="W230" s="1"/>
      <c r="X230" s="1"/>
      <c r="Y230" s="279"/>
      <c r="Z230" s="279"/>
    </row>
    <row r="231" spans="2:53" x14ac:dyDescent="0.3">
      <c r="Q231" s="1"/>
      <c r="R231" s="1"/>
      <c r="S231" s="1"/>
      <c r="T231" s="1"/>
      <c r="U231" s="1"/>
      <c r="V231" s="1"/>
      <c r="W231" s="1"/>
    </row>
  </sheetData>
  <sheetProtection sheet="1" objects="1" scenarios="1"/>
  <dataConsolidate/>
  <mergeCells count="7">
    <mergeCell ref="O8:T8"/>
    <mergeCell ref="I60:J60"/>
    <mergeCell ref="O3:T3"/>
    <mergeCell ref="O4:T4"/>
    <mergeCell ref="O5:T5"/>
    <mergeCell ref="O6:T6"/>
    <mergeCell ref="O7:T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J81"/>
  <sheetViews>
    <sheetView zoomScale="80" zoomScaleNormal="80" workbookViewId="0">
      <selection activeCell="E1" sqref="E1"/>
    </sheetView>
  </sheetViews>
  <sheetFormatPr defaultRowHeight="14.4" x14ac:dyDescent="0.3"/>
  <cols>
    <col min="1" max="2" width="2.6640625" style="278" customWidth="1"/>
    <col min="4" max="4" width="12.5546875" style="102" customWidth="1"/>
    <col min="5" max="5" width="10.6640625" customWidth="1"/>
    <col min="7" max="7" width="11.109375" customWidth="1"/>
    <col min="8" max="8" width="12.6640625" customWidth="1"/>
    <col min="9" max="9" width="10.33203125" customWidth="1"/>
    <col min="10" max="10" width="13.6640625" customWidth="1"/>
    <col min="11" max="12" width="13.109375" customWidth="1"/>
    <col min="13" max="13" width="10.6640625" style="332" customWidth="1"/>
    <col min="14" max="14" width="13.44140625" customWidth="1"/>
    <col min="15" max="15" width="14.5546875" customWidth="1"/>
    <col min="16" max="16" width="7.88671875" customWidth="1"/>
    <col min="17" max="17" width="11.109375" bestFit="1" customWidth="1"/>
    <col min="20" max="20" width="14.6640625" customWidth="1"/>
    <col min="21" max="21" width="12.33203125" customWidth="1"/>
    <col min="23" max="23" width="8" customWidth="1"/>
  </cols>
  <sheetData>
    <row r="1" spans="1:36" s="278" customFormat="1" ht="23.4" thickBot="1" x14ac:dyDescent="0.45">
      <c r="B1" s="279"/>
      <c r="C1" s="279"/>
      <c r="D1" s="279"/>
      <c r="E1" s="352" t="s">
        <v>324</v>
      </c>
      <c r="F1" s="352"/>
      <c r="G1" s="352"/>
      <c r="H1" s="352"/>
      <c r="I1" s="279"/>
      <c r="J1" s="279"/>
      <c r="K1" s="279"/>
      <c r="L1" s="279"/>
      <c r="M1" s="350"/>
      <c r="N1" s="279"/>
      <c r="O1" s="279"/>
      <c r="P1" s="279"/>
      <c r="Q1" s="279"/>
      <c r="R1" s="279"/>
      <c r="S1" s="279"/>
      <c r="T1" s="279"/>
      <c r="U1" s="279"/>
      <c r="V1" s="279"/>
      <c r="W1" s="279"/>
      <c r="X1" s="279"/>
      <c r="Y1" s="279"/>
      <c r="Z1" s="279"/>
      <c r="AA1" s="279"/>
      <c r="AB1" s="279"/>
      <c r="AC1" s="279"/>
      <c r="AD1" s="279"/>
      <c r="AE1" s="279"/>
    </row>
    <row r="2" spans="1:36" ht="128.4" customHeight="1" thickBot="1" x14ac:dyDescent="0.35">
      <c r="B2" s="279"/>
      <c r="C2" s="275" t="s">
        <v>107</v>
      </c>
      <c r="D2" s="276" t="s">
        <v>119</v>
      </c>
      <c r="E2" s="276" t="s">
        <v>124</v>
      </c>
      <c r="F2" s="276" t="s">
        <v>125</v>
      </c>
      <c r="G2" s="276" t="s">
        <v>126</v>
      </c>
      <c r="H2" s="276" t="s">
        <v>344</v>
      </c>
      <c r="I2" s="276" t="s">
        <v>160</v>
      </c>
      <c r="J2" s="276" t="s">
        <v>123</v>
      </c>
      <c r="K2" s="276" t="s">
        <v>161</v>
      </c>
      <c r="L2" s="277" t="s">
        <v>162</v>
      </c>
      <c r="M2" s="337"/>
      <c r="N2" s="323" t="s">
        <v>136</v>
      </c>
      <c r="O2" s="323" t="s">
        <v>135</v>
      </c>
      <c r="P2" s="278"/>
      <c r="Q2" s="289"/>
      <c r="R2" s="290"/>
      <c r="S2" s="278"/>
      <c r="T2" s="278"/>
      <c r="U2" s="278"/>
      <c r="V2" s="278"/>
      <c r="W2" s="279"/>
      <c r="X2" s="279"/>
      <c r="Y2" s="279"/>
      <c r="Z2" s="279"/>
      <c r="AA2" s="279"/>
      <c r="AB2" s="279"/>
      <c r="AC2" s="279"/>
      <c r="AD2" s="279"/>
      <c r="AE2" s="279"/>
      <c r="AF2" s="278"/>
      <c r="AG2" s="278"/>
      <c r="AH2" s="278"/>
      <c r="AI2" s="278"/>
      <c r="AJ2" s="278"/>
    </row>
    <row r="3" spans="1:36" ht="16.2" thickBot="1" x14ac:dyDescent="0.35">
      <c r="B3" s="291"/>
      <c r="C3" s="211">
        <v>0</v>
      </c>
      <c r="D3" s="273"/>
      <c r="E3" s="213"/>
      <c r="F3" s="214"/>
      <c r="G3" s="215">
        <v>0</v>
      </c>
      <c r="H3" s="215">
        <f>N3+$U$8</f>
        <v>3630</v>
      </c>
      <c r="I3" s="215">
        <f>G3-H3</f>
        <v>-3630</v>
      </c>
      <c r="J3" s="215">
        <f t="shared" ref="J3:J51" si="0">I3/(1+$U$4)^C3</f>
        <v>-3630</v>
      </c>
      <c r="K3" s="215">
        <f>J3</f>
        <v>-3630</v>
      </c>
      <c r="L3" s="220"/>
      <c r="M3" s="360">
        <v>0</v>
      </c>
      <c r="N3" s="133">
        <f>'Defender Cost to Establish'!D11</f>
        <v>3630</v>
      </c>
      <c r="O3" s="1"/>
      <c r="P3" s="543" t="s">
        <v>360</v>
      </c>
      <c r="Q3" s="544"/>
      <c r="R3" s="544"/>
      <c r="S3" s="544"/>
      <c r="T3" s="544"/>
      <c r="U3" s="376">
        <v>0.35</v>
      </c>
      <c r="V3" s="353" t="s">
        <v>118</v>
      </c>
      <c r="W3" s="233"/>
      <c r="X3" s="279"/>
      <c r="Y3" s="279"/>
      <c r="Z3" s="279"/>
      <c r="AA3" s="279"/>
      <c r="AB3" s="279"/>
      <c r="AC3" s="279"/>
      <c r="AD3" s="279"/>
      <c r="AE3" s="279"/>
      <c r="AF3" s="278"/>
      <c r="AG3" s="278"/>
      <c r="AH3" s="278"/>
      <c r="AI3" s="278"/>
      <c r="AJ3" s="278"/>
    </row>
    <row r="4" spans="1:36" ht="16.2" thickBot="1" x14ac:dyDescent="0.35">
      <c r="B4" s="291"/>
      <c r="C4" s="217">
        <f>C3+1</f>
        <v>1</v>
      </c>
      <c r="D4" s="163">
        <v>0</v>
      </c>
      <c r="E4" s="219">
        <f t="shared" ref="E4:E61" si="1">$U$5*D4</f>
        <v>0</v>
      </c>
      <c r="F4" s="97">
        <f t="shared" ref="F4:F61" si="2">$U$3</f>
        <v>0.35</v>
      </c>
      <c r="G4" s="109">
        <f t="shared" ref="G4:G61" si="3">E4*F4</f>
        <v>0</v>
      </c>
      <c r="H4" s="109">
        <f>N4+$U$8</f>
        <v>4807.481441176471</v>
      </c>
      <c r="I4" s="109">
        <f t="shared" ref="I4:I61" si="4">G4-H4</f>
        <v>-4807.481441176471</v>
      </c>
      <c r="J4" s="109">
        <f t="shared" si="0"/>
        <v>-4451.3717047930286</v>
      </c>
      <c r="K4" s="109">
        <f>J4+K3</f>
        <v>-8081.3717047930286</v>
      </c>
      <c r="L4" s="220">
        <f t="shared" ref="L4:L22" si="5">-PMT($U$4,C4,K4,1)</f>
        <v>-8726.8814411764706</v>
      </c>
      <c r="M4" s="360">
        <v>1</v>
      </c>
      <c r="N4" s="134">
        <f>'Defender Cost to Establish'!D25</f>
        <v>4807.481441176471</v>
      </c>
      <c r="O4" s="1"/>
      <c r="P4" s="546" t="s">
        <v>116</v>
      </c>
      <c r="Q4" s="547"/>
      <c r="R4" s="547"/>
      <c r="S4" s="547"/>
      <c r="T4" s="547"/>
      <c r="U4" s="364">
        <f>'Chestnuts Orchard Model'!U4</f>
        <v>0.08</v>
      </c>
      <c r="V4" s="354" t="s">
        <v>117</v>
      </c>
      <c r="W4" s="233"/>
      <c r="X4" s="279"/>
      <c r="Y4" s="279"/>
      <c r="Z4" s="279"/>
      <c r="AA4" s="279"/>
      <c r="AB4" s="279"/>
      <c r="AC4" s="279"/>
      <c r="AD4" s="279"/>
      <c r="AE4" s="279"/>
      <c r="AF4" s="278"/>
      <c r="AG4" s="278"/>
      <c r="AH4" s="278"/>
      <c r="AI4" s="278"/>
      <c r="AJ4" s="278"/>
    </row>
    <row r="5" spans="1:36" ht="16.2" thickBot="1" x14ac:dyDescent="0.35">
      <c r="B5" s="291"/>
      <c r="C5" s="217">
        <f t="shared" ref="C5:C61" si="6">C4+1</f>
        <v>2</v>
      </c>
      <c r="D5" s="163">
        <v>0</v>
      </c>
      <c r="E5" s="219">
        <f t="shared" si="1"/>
        <v>0</v>
      </c>
      <c r="F5" s="97">
        <f t="shared" si="2"/>
        <v>0.35</v>
      </c>
      <c r="G5" s="109">
        <f t="shared" si="3"/>
        <v>0</v>
      </c>
      <c r="H5" s="109">
        <f>N5+$U$8</f>
        <v>1016.2814411764706</v>
      </c>
      <c r="I5" s="109">
        <f t="shared" si="4"/>
        <v>-1016.2814411764706</v>
      </c>
      <c r="J5" s="109">
        <f t="shared" si="0"/>
        <v>-871.29753187283131</v>
      </c>
      <c r="K5" s="109">
        <f t="shared" ref="K5:K51" si="7">J5+K4</f>
        <v>-8952.6692366658608</v>
      </c>
      <c r="L5" s="220">
        <f t="shared" si="5"/>
        <v>-5019.900671945702</v>
      </c>
      <c r="M5" s="360">
        <v>2</v>
      </c>
      <c r="N5" s="134">
        <f>'Defender Cost to Establish'!D37</f>
        <v>1016.2814411764706</v>
      </c>
      <c r="O5" s="1"/>
      <c r="P5" s="546" t="s">
        <v>328</v>
      </c>
      <c r="Q5" s="547"/>
      <c r="R5" s="547"/>
      <c r="S5" s="547"/>
      <c r="T5" s="547"/>
      <c r="U5" s="377">
        <v>12000</v>
      </c>
      <c r="V5" s="355" t="s">
        <v>115</v>
      </c>
      <c r="W5" s="357"/>
      <c r="X5" s="294"/>
      <c r="Y5" s="279"/>
      <c r="Z5" s="279"/>
      <c r="AA5" s="279"/>
      <c r="AB5" s="279"/>
      <c r="AC5" s="279"/>
      <c r="AD5" s="279"/>
      <c r="AE5" s="279"/>
      <c r="AF5" s="278"/>
      <c r="AG5" s="278"/>
      <c r="AH5" s="278"/>
      <c r="AI5" s="278"/>
      <c r="AJ5" s="278"/>
    </row>
    <row r="6" spans="1:36" ht="16.2" thickBot="1" x14ac:dyDescent="0.35">
      <c r="B6" s="291"/>
      <c r="C6" s="217">
        <f t="shared" si="6"/>
        <v>3</v>
      </c>
      <c r="D6" s="163">
        <v>0</v>
      </c>
      <c r="E6" s="219">
        <f t="shared" si="1"/>
        <v>0</v>
      </c>
      <c r="F6" s="97">
        <f t="shared" si="2"/>
        <v>0.35</v>
      </c>
      <c r="G6" s="109">
        <f t="shared" si="3"/>
        <v>0</v>
      </c>
      <c r="H6" s="109">
        <f>N6+$U$8</f>
        <v>1202.1189411764706</v>
      </c>
      <c r="I6" s="109">
        <f t="shared" si="4"/>
        <v>-1202.1189411764706</v>
      </c>
      <c r="J6" s="109">
        <f t="shared" si="0"/>
        <v>-954.28077304691101</v>
      </c>
      <c r="K6" s="109">
        <f t="shared" si="7"/>
        <v>-9906.9500097127711</v>
      </c>
      <c r="L6" s="220">
        <f t="shared" si="5"/>
        <v>-3843.9205922361061</v>
      </c>
      <c r="M6" s="360">
        <v>3</v>
      </c>
      <c r="N6" s="134">
        <f>'Defender Cost to Establish'!G15</f>
        <v>1202.1189411764706</v>
      </c>
      <c r="O6" s="1"/>
      <c r="P6" s="546" t="s">
        <v>131</v>
      </c>
      <c r="Q6" s="547"/>
      <c r="R6" s="547"/>
      <c r="S6" s="547"/>
      <c r="T6" s="547"/>
      <c r="U6" s="378">
        <f>'Defender Cost Per Acre'!K69</f>
        <v>2222.7429980832462</v>
      </c>
      <c r="V6" s="354" t="s">
        <v>133</v>
      </c>
      <c r="W6" s="233"/>
      <c r="X6" s="279"/>
      <c r="Y6" s="279"/>
      <c r="Z6" s="279"/>
      <c r="AA6" s="279"/>
      <c r="AB6" s="279"/>
      <c r="AC6" s="279"/>
      <c r="AD6" s="279"/>
      <c r="AE6" s="279"/>
      <c r="AF6" s="278"/>
      <c r="AG6" s="278"/>
      <c r="AH6" s="278"/>
      <c r="AI6" s="278"/>
      <c r="AJ6" s="278"/>
    </row>
    <row r="7" spans="1:36" ht="15.6" x14ac:dyDescent="0.3">
      <c r="B7" s="291"/>
      <c r="C7" s="217">
        <f t="shared" si="6"/>
        <v>4</v>
      </c>
      <c r="D7" s="163">
        <v>0.16700000000000001</v>
      </c>
      <c r="E7" s="219">
        <f t="shared" si="1"/>
        <v>2004.0000000000002</v>
      </c>
      <c r="F7" s="97">
        <f t="shared" si="2"/>
        <v>0.35</v>
      </c>
      <c r="G7" s="109">
        <f t="shared" si="3"/>
        <v>701.40000000000009</v>
      </c>
      <c r="H7" s="97">
        <f>$U$6*O7+$U$8</f>
        <v>1633.9417414972854</v>
      </c>
      <c r="I7" s="109">
        <f t="shared" si="4"/>
        <v>-932.54174149728533</v>
      </c>
      <c r="J7" s="109">
        <f t="shared" si="0"/>
        <v>-685.44601897929783</v>
      </c>
      <c r="K7" s="109">
        <f t="shared" si="7"/>
        <v>-10592.396028692068</v>
      </c>
      <c r="L7" s="220">
        <f t="shared" si="5"/>
        <v>-3197.8428092740269</v>
      </c>
      <c r="M7" s="350"/>
      <c r="N7" s="1"/>
      <c r="O7" s="178">
        <v>0.73510151326819795</v>
      </c>
      <c r="P7" s="279"/>
      <c r="Q7" s="279"/>
      <c r="R7" s="279"/>
      <c r="S7" s="279"/>
      <c r="T7" s="279"/>
      <c r="U7" s="279"/>
      <c r="V7" s="279"/>
      <c r="W7" s="279"/>
      <c r="X7" s="291"/>
      <c r="Y7" s="291"/>
      <c r="Z7" s="279"/>
      <c r="AA7" s="279"/>
      <c r="AB7" s="279"/>
      <c r="AC7" s="279"/>
      <c r="AD7" s="279"/>
      <c r="AE7" s="279"/>
      <c r="AF7" s="278"/>
      <c r="AG7" s="278"/>
      <c r="AH7" s="278"/>
      <c r="AI7" s="278"/>
      <c r="AJ7" s="278"/>
    </row>
    <row r="8" spans="1:36" ht="15.6" x14ac:dyDescent="0.3">
      <c r="B8" s="291"/>
      <c r="C8" s="217">
        <f t="shared" si="6"/>
        <v>5</v>
      </c>
      <c r="D8" s="163">
        <v>0.33300000000000002</v>
      </c>
      <c r="E8" s="219">
        <f t="shared" si="1"/>
        <v>3996</v>
      </c>
      <c r="F8" s="97">
        <f t="shared" si="2"/>
        <v>0.35</v>
      </c>
      <c r="G8" s="109">
        <f t="shared" si="3"/>
        <v>1398.6</v>
      </c>
      <c r="H8" s="97">
        <f>$U$6*O8+$U$8</f>
        <v>1763.3985486560732</v>
      </c>
      <c r="I8" s="109">
        <f t="shared" si="4"/>
        <v>-364.79854865607331</v>
      </c>
      <c r="J8" s="109">
        <f t="shared" si="0"/>
        <v>-248.27576251762346</v>
      </c>
      <c r="K8" s="109">
        <f t="shared" si="7"/>
        <v>-10840.671791209692</v>
      </c>
      <c r="L8" s="220">
        <f t="shared" si="5"/>
        <v>-2714.9457654945304</v>
      </c>
      <c r="M8" s="350"/>
      <c r="N8" s="1"/>
      <c r="O8" s="178">
        <v>0.79334342754727705</v>
      </c>
      <c r="P8" s="279"/>
      <c r="Q8" s="279"/>
      <c r="R8" s="279"/>
      <c r="S8" s="279"/>
      <c r="T8" s="279"/>
      <c r="U8" s="279"/>
      <c r="V8" s="279"/>
      <c r="W8" s="279"/>
      <c r="X8" s="297"/>
      <c r="Y8" s="297"/>
      <c r="Z8" s="279"/>
      <c r="AA8" s="279"/>
      <c r="AB8" s="279"/>
      <c r="AC8" s="279"/>
      <c r="AD8" s="279"/>
      <c r="AE8" s="279"/>
      <c r="AF8" s="278"/>
      <c r="AG8" s="278"/>
      <c r="AH8" s="278"/>
      <c r="AI8" s="278"/>
      <c r="AJ8" s="278"/>
    </row>
    <row r="9" spans="1:36" ht="15.6" x14ac:dyDescent="0.3">
      <c r="B9" s="291"/>
      <c r="C9" s="217">
        <f t="shared" si="6"/>
        <v>6</v>
      </c>
      <c r="D9" s="163">
        <v>0.5</v>
      </c>
      <c r="E9" s="219">
        <f t="shared" si="1"/>
        <v>6000</v>
      </c>
      <c r="F9" s="97">
        <f t="shared" si="2"/>
        <v>0.35</v>
      </c>
      <c r="G9" s="109">
        <f t="shared" si="3"/>
        <v>2100</v>
      </c>
      <c r="H9" s="97">
        <f>$U$6*O9+$U$8</f>
        <v>1885.208175562012</v>
      </c>
      <c r="I9" s="109">
        <f t="shared" si="4"/>
        <v>214.791824437988</v>
      </c>
      <c r="J9" s="109">
        <f t="shared" si="0"/>
        <v>135.35528386362819</v>
      </c>
      <c r="K9" s="109">
        <f t="shared" si="7"/>
        <v>-10705.316507346064</v>
      </c>
      <c r="L9" s="220">
        <f t="shared" si="5"/>
        <v>-2315.5883596041294</v>
      </c>
      <c r="M9" s="350"/>
      <c r="N9" s="279"/>
      <c r="O9" s="324">
        <v>0.84814491697317096</v>
      </c>
      <c r="P9" s="279"/>
      <c r="Q9" s="279"/>
      <c r="R9" s="279"/>
      <c r="S9" s="279"/>
      <c r="T9" s="279"/>
      <c r="U9" s="279"/>
      <c r="V9" s="279"/>
      <c r="W9" s="279"/>
      <c r="X9" s="325"/>
      <c r="Y9" s="279"/>
      <c r="Z9" s="279"/>
      <c r="AA9" s="279"/>
      <c r="AB9" s="279"/>
      <c r="AC9" s="279"/>
      <c r="AD9" s="279"/>
      <c r="AE9" s="279"/>
      <c r="AF9" s="278"/>
      <c r="AG9" s="278"/>
      <c r="AH9" s="278"/>
      <c r="AI9" s="278"/>
      <c r="AJ9" s="278"/>
    </row>
    <row r="10" spans="1:36" ht="15.6" x14ac:dyDescent="0.3">
      <c r="B10" s="291"/>
      <c r="C10" s="217">
        <f t="shared" si="6"/>
        <v>7</v>
      </c>
      <c r="D10" s="163">
        <v>0.66700000000000004</v>
      </c>
      <c r="E10" s="219">
        <f t="shared" si="1"/>
        <v>8004</v>
      </c>
      <c r="F10" s="97">
        <f t="shared" si="2"/>
        <v>0.35</v>
      </c>
      <c r="G10" s="109">
        <f t="shared" si="3"/>
        <v>2801.3999999999996</v>
      </c>
      <c r="H10" s="97">
        <f t="shared" ref="H10:H54" si="8">$U$6*O10+$U$8</f>
        <v>2036.8289600409555</v>
      </c>
      <c r="I10" s="109">
        <f t="shared" si="4"/>
        <v>764.57103995904413</v>
      </c>
      <c r="J10" s="109">
        <f t="shared" si="0"/>
        <v>446.1198583116834</v>
      </c>
      <c r="K10" s="109">
        <f t="shared" si="7"/>
        <v>-10259.19664903438</v>
      </c>
      <c r="L10" s="220">
        <f t="shared" si="5"/>
        <v>-1970.3964647049077</v>
      </c>
      <c r="M10" s="350"/>
      <c r="N10" s="279"/>
      <c r="O10" s="324">
        <v>0.91635828424491217</v>
      </c>
      <c r="P10" s="279"/>
      <c r="Q10" s="295"/>
      <c r="R10" s="296"/>
      <c r="S10" s="291"/>
      <c r="T10" s="291"/>
      <c r="U10" s="291"/>
      <c r="V10" s="291"/>
      <c r="W10" s="291"/>
      <c r="X10" s="291"/>
      <c r="Y10" s="291"/>
      <c r="Z10" s="279"/>
      <c r="AA10" s="279"/>
      <c r="AB10" s="279"/>
      <c r="AC10" s="279"/>
      <c r="AD10" s="279"/>
      <c r="AE10" s="279"/>
      <c r="AF10" s="278"/>
      <c r="AG10" s="278"/>
      <c r="AH10" s="278"/>
      <c r="AI10" s="278"/>
      <c r="AJ10" s="278"/>
    </row>
    <row r="11" spans="1:36" ht="15.6" x14ac:dyDescent="0.3">
      <c r="B11" s="291"/>
      <c r="C11" s="217">
        <f t="shared" si="6"/>
        <v>8</v>
      </c>
      <c r="D11" s="163">
        <v>0.83299999999999996</v>
      </c>
      <c r="E11" s="219">
        <f t="shared" si="1"/>
        <v>9996</v>
      </c>
      <c r="F11" s="97">
        <f t="shared" si="2"/>
        <v>0.35</v>
      </c>
      <c r="G11" s="109">
        <f t="shared" si="3"/>
        <v>3498.6</v>
      </c>
      <c r="H11" s="97">
        <f t="shared" si="8"/>
        <v>2154.8489085073329</v>
      </c>
      <c r="I11" s="109">
        <f t="shared" si="4"/>
        <v>1343.751091492667</v>
      </c>
      <c r="J11" s="109">
        <f t="shared" si="0"/>
        <v>725.98690324905556</v>
      </c>
      <c r="K11" s="109">
        <f t="shared" si="7"/>
        <v>-9533.2097457853251</v>
      </c>
      <c r="L11" s="220">
        <f t="shared" si="5"/>
        <v>-1658.8251968238674</v>
      </c>
      <c r="M11" s="350"/>
      <c r="N11" s="279"/>
      <c r="O11" s="324">
        <v>0.96945481792791122</v>
      </c>
      <c r="P11" s="279"/>
      <c r="Q11" s="297"/>
      <c r="R11" s="298"/>
      <c r="S11" s="297"/>
      <c r="T11" s="297"/>
      <c r="U11" s="297"/>
      <c r="V11" s="297"/>
      <c r="W11" s="297"/>
      <c r="X11" s="297"/>
      <c r="Y11" s="297"/>
      <c r="Z11" s="279"/>
      <c r="AA11" s="279"/>
      <c r="AB11" s="279"/>
      <c r="AC11" s="279"/>
      <c r="AD11" s="279"/>
      <c r="AE11" s="279"/>
      <c r="AF11" s="278"/>
      <c r="AG11" s="278"/>
      <c r="AH11" s="278"/>
      <c r="AI11" s="278"/>
      <c r="AJ11" s="278"/>
    </row>
    <row r="12" spans="1:36" ht="15.6" x14ac:dyDescent="0.3">
      <c r="B12" s="291"/>
      <c r="C12" s="217">
        <f t="shared" si="6"/>
        <v>9</v>
      </c>
      <c r="D12" s="163">
        <v>1</v>
      </c>
      <c r="E12" s="219">
        <f t="shared" si="1"/>
        <v>12000</v>
      </c>
      <c r="F12" s="97">
        <f t="shared" si="2"/>
        <v>0.35</v>
      </c>
      <c r="G12" s="109">
        <f t="shared" si="3"/>
        <v>4200</v>
      </c>
      <c r="H12" s="97">
        <f t="shared" si="8"/>
        <v>2222.7429980832462</v>
      </c>
      <c r="I12" s="109">
        <f t="shared" si="4"/>
        <v>1977.2570019167538</v>
      </c>
      <c r="J12" s="109">
        <f>I12/(1+$U$4)^C12</f>
        <v>989.12077296230132</v>
      </c>
      <c r="K12" s="109">
        <f t="shared" si="7"/>
        <v>-8544.0889728230231</v>
      </c>
      <c r="L12" s="220">
        <f t="shared" si="5"/>
        <v>-1367.6551981999849</v>
      </c>
      <c r="M12" s="350"/>
      <c r="N12" s="279"/>
      <c r="O12" s="324">
        <v>1</v>
      </c>
      <c r="P12" s="279"/>
      <c r="Q12" s="287"/>
      <c r="R12" s="279"/>
      <c r="S12" s="279"/>
      <c r="T12" s="326"/>
      <c r="U12" s="293"/>
      <c r="V12" s="279"/>
      <c r="W12" s="279"/>
      <c r="X12" s="279"/>
      <c r="Y12" s="279"/>
      <c r="Z12" s="279"/>
      <c r="AA12" s="279"/>
      <c r="AB12" s="279"/>
      <c r="AC12" s="279"/>
      <c r="AD12" s="279"/>
      <c r="AE12" s="279"/>
      <c r="AF12" s="278"/>
    </row>
    <row r="13" spans="1:36" ht="15.6" x14ac:dyDescent="0.3">
      <c r="B13" s="291"/>
      <c r="C13" s="217">
        <f t="shared" si="6"/>
        <v>10</v>
      </c>
      <c r="D13" s="163">
        <v>1</v>
      </c>
      <c r="E13" s="219">
        <f t="shared" si="1"/>
        <v>12000</v>
      </c>
      <c r="F13" s="97">
        <f t="shared" si="2"/>
        <v>0.35</v>
      </c>
      <c r="G13" s="109">
        <f t="shared" si="3"/>
        <v>4200</v>
      </c>
      <c r="H13" s="97">
        <f t="shared" si="8"/>
        <v>2222.7429980832462</v>
      </c>
      <c r="I13" s="109">
        <f t="shared" si="4"/>
        <v>1977.2570019167538</v>
      </c>
      <c r="J13" s="109">
        <f t="shared" si="0"/>
        <v>915.85256755768637</v>
      </c>
      <c r="K13" s="109">
        <f t="shared" si="7"/>
        <v>-7628.2364052653365</v>
      </c>
      <c r="L13" s="220">
        <f t="shared" si="5"/>
        <v>-1136.7631416484126</v>
      </c>
      <c r="M13" s="350"/>
      <c r="N13" s="279"/>
      <c r="O13" s="324">
        <v>1</v>
      </c>
      <c r="P13" s="279"/>
      <c r="Q13" s="314"/>
      <c r="R13" s="279"/>
      <c r="S13" s="279"/>
      <c r="T13" s="279"/>
      <c r="U13" s="279"/>
      <c r="V13" s="279"/>
      <c r="W13" s="279"/>
      <c r="X13" s="279"/>
      <c r="Y13" s="279"/>
      <c r="Z13" s="279"/>
      <c r="AA13" s="279"/>
      <c r="AB13" s="279"/>
      <c r="AC13" s="279"/>
      <c r="AD13" s="279"/>
      <c r="AE13" s="279"/>
      <c r="AF13" s="278"/>
    </row>
    <row r="14" spans="1:36" ht="15.6" x14ac:dyDescent="0.3">
      <c r="B14" s="291"/>
      <c r="C14" s="217">
        <f t="shared" si="6"/>
        <v>11</v>
      </c>
      <c r="D14" s="163">
        <v>1</v>
      </c>
      <c r="E14" s="219">
        <f t="shared" si="1"/>
        <v>12000</v>
      </c>
      <c r="F14" s="97">
        <f t="shared" si="2"/>
        <v>0.35</v>
      </c>
      <c r="G14" s="109">
        <f t="shared" si="3"/>
        <v>4200</v>
      </c>
      <c r="H14" s="97">
        <f t="shared" si="8"/>
        <v>2222.7429980832462</v>
      </c>
      <c r="I14" s="109">
        <f t="shared" si="4"/>
        <v>1977.2570019167538</v>
      </c>
      <c r="J14" s="109">
        <f>I14/(1+$U$4)^C14</f>
        <v>848.01163662748741</v>
      </c>
      <c r="K14" s="109">
        <f t="shared" si="7"/>
        <v>-6780.2247686378487</v>
      </c>
      <c r="L14" s="220">
        <f t="shared" si="5"/>
        <v>-949.68900816612529</v>
      </c>
      <c r="M14" s="350"/>
      <c r="N14" s="279"/>
      <c r="O14" s="324">
        <v>1</v>
      </c>
      <c r="P14" s="279"/>
      <c r="Q14" s="295"/>
      <c r="R14" s="295"/>
      <c r="S14" s="295"/>
      <c r="T14" s="295"/>
      <c r="U14" s="299"/>
      <c r="V14" s="299"/>
      <c r="W14" s="299"/>
      <c r="X14" s="299"/>
      <c r="Y14" s="279"/>
      <c r="Z14" s="279"/>
      <c r="AA14" s="279"/>
      <c r="AB14" s="279"/>
      <c r="AC14" s="279"/>
      <c r="AD14" s="279"/>
      <c r="AE14" s="279"/>
      <c r="AF14" s="278"/>
    </row>
    <row r="15" spans="1:36" ht="15.6" x14ac:dyDescent="0.3">
      <c r="B15" s="291"/>
      <c r="C15" s="217">
        <f t="shared" si="6"/>
        <v>12</v>
      </c>
      <c r="D15" s="163">
        <v>1</v>
      </c>
      <c r="E15" s="219">
        <f t="shared" si="1"/>
        <v>12000</v>
      </c>
      <c r="F15" s="97">
        <f t="shared" si="2"/>
        <v>0.35</v>
      </c>
      <c r="G15" s="109">
        <f t="shared" si="3"/>
        <v>4200</v>
      </c>
      <c r="H15" s="97">
        <f t="shared" si="8"/>
        <v>2222.7429980832462</v>
      </c>
      <c r="I15" s="109">
        <f t="shared" si="4"/>
        <v>1977.2570019167538</v>
      </c>
      <c r="J15" s="109">
        <f t="shared" si="0"/>
        <v>785.19595984026603</v>
      </c>
      <c r="K15" s="109">
        <f t="shared" si="7"/>
        <v>-5995.0288087975823</v>
      </c>
      <c r="L15" s="220">
        <f t="shared" si="5"/>
        <v>-795.45775422915324</v>
      </c>
      <c r="M15" s="350"/>
      <c r="N15" s="279"/>
      <c r="O15" s="324">
        <v>1</v>
      </c>
      <c r="P15" s="279"/>
      <c r="Q15" s="278"/>
      <c r="R15" s="278"/>
      <c r="S15" s="278"/>
      <c r="T15" s="278"/>
      <c r="U15" s="279"/>
      <c r="V15" s="279"/>
      <c r="W15" s="279"/>
      <c r="X15" s="279"/>
      <c r="Y15" s="279"/>
      <c r="Z15" s="279"/>
      <c r="AA15" s="279"/>
      <c r="AB15" s="279"/>
      <c r="AC15" s="279"/>
      <c r="AD15" s="279"/>
      <c r="AE15" s="279"/>
      <c r="AF15" s="278"/>
    </row>
    <row r="16" spans="1:36" s="102" customFormat="1" ht="15.6" x14ac:dyDescent="0.3">
      <c r="A16" s="278"/>
      <c r="B16" s="291"/>
      <c r="C16" s="217">
        <f t="shared" si="6"/>
        <v>13</v>
      </c>
      <c r="D16" s="163">
        <v>1</v>
      </c>
      <c r="E16" s="219">
        <f t="shared" si="1"/>
        <v>12000</v>
      </c>
      <c r="F16" s="97">
        <f t="shared" si="2"/>
        <v>0.35</v>
      </c>
      <c r="G16" s="109">
        <f t="shared" si="3"/>
        <v>4200</v>
      </c>
      <c r="H16" s="97">
        <f t="shared" si="8"/>
        <v>2222.7429980832462</v>
      </c>
      <c r="I16" s="109">
        <f t="shared" si="4"/>
        <v>1977.2570019167538</v>
      </c>
      <c r="J16" s="109">
        <f t="shared" si="0"/>
        <v>727.03329614839447</v>
      </c>
      <c r="K16" s="109">
        <f t="shared" si="7"/>
        <v>-5267.9955126491877</v>
      </c>
      <c r="L16" s="220">
        <f t="shared" si="5"/>
        <v>-666.46978022253359</v>
      </c>
      <c r="M16" s="350"/>
      <c r="N16" s="279"/>
      <c r="O16" s="324">
        <v>1</v>
      </c>
      <c r="P16" s="279"/>
      <c r="Q16" s="278"/>
      <c r="R16" s="278"/>
      <c r="S16" s="278"/>
      <c r="T16" s="278"/>
      <c r="U16" s="279"/>
      <c r="V16" s="279"/>
      <c r="W16" s="279"/>
      <c r="X16" s="279"/>
      <c r="Y16" s="279"/>
      <c r="Z16" s="279"/>
      <c r="AA16" s="279"/>
      <c r="AB16" s="279"/>
      <c r="AC16" s="279"/>
      <c r="AD16" s="279"/>
      <c r="AE16" s="279"/>
      <c r="AF16" s="278"/>
    </row>
    <row r="17" spans="1:32" s="102" customFormat="1" ht="15.6" x14ac:dyDescent="0.3">
      <c r="A17" s="278"/>
      <c r="B17" s="291"/>
      <c r="C17" s="217">
        <f t="shared" si="6"/>
        <v>14</v>
      </c>
      <c r="D17" s="163">
        <v>1</v>
      </c>
      <c r="E17" s="219">
        <f t="shared" si="1"/>
        <v>12000</v>
      </c>
      <c r="F17" s="97">
        <f t="shared" si="2"/>
        <v>0.35</v>
      </c>
      <c r="G17" s="109">
        <f t="shared" si="3"/>
        <v>4200</v>
      </c>
      <c r="H17" s="97">
        <f t="shared" si="8"/>
        <v>2222.7429980832462</v>
      </c>
      <c r="I17" s="109">
        <f t="shared" si="4"/>
        <v>1977.2570019167538</v>
      </c>
      <c r="J17" s="109">
        <f t="shared" si="0"/>
        <v>673.17897791517998</v>
      </c>
      <c r="K17" s="109">
        <f t="shared" si="7"/>
        <v>-4594.8165347340073</v>
      </c>
      <c r="L17" s="220">
        <f t="shared" si="5"/>
        <v>-557.29548813173267</v>
      </c>
      <c r="M17" s="350"/>
      <c r="N17" s="279"/>
      <c r="O17" s="324">
        <v>1</v>
      </c>
      <c r="P17" s="279"/>
      <c r="Q17" s="278"/>
      <c r="R17" s="278"/>
      <c r="S17" s="278"/>
      <c r="T17" s="278"/>
      <c r="U17" s="279"/>
      <c r="V17" s="279"/>
      <c r="W17" s="279"/>
      <c r="X17" s="279"/>
      <c r="Y17" s="279"/>
      <c r="Z17" s="279"/>
      <c r="AA17" s="279"/>
      <c r="AB17" s="279"/>
      <c r="AC17" s="279"/>
      <c r="AD17" s="279"/>
      <c r="AE17" s="279"/>
      <c r="AF17" s="278"/>
    </row>
    <row r="18" spans="1:32" s="102" customFormat="1" ht="15.6" x14ac:dyDescent="0.3">
      <c r="A18" s="278"/>
      <c r="B18" s="291"/>
      <c r="C18" s="217">
        <f t="shared" si="6"/>
        <v>15</v>
      </c>
      <c r="D18" s="163">
        <v>1</v>
      </c>
      <c r="E18" s="219">
        <f t="shared" si="1"/>
        <v>12000</v>
      </c>
      <c r="F18" s="97">
        <f t="shared" si="2"/>
        <v>0.35</v>
      </c>
      <c r="G18" s="109">
        <f t="shared" si="3"/>
        <v>4200</v>
      </c>
      <c r="H18" s="97">
        <f t="shared" si="8"/>
        <v>2222.7429980832462</v>
      </c>
      <c r="I18" s="109">
        <f t="shared" si="4"/>
        <v>1977.2570019167538</v>
      </c>
      <c r="J18" s="109">
        <f t="shared" si="0"/>
        <v>623.31386843998143</v>
      </c>
      <c r="K18" s="109">
        <f t="shared" si="7"/>
        <v>-3971.5026662940259</v>
      </c>
      <c r="L18" s="220">
        <f t="shared" si="5"/>
        <v>-463.95201967038525</v>
      </c>
      <c r="M18" s="350"/>
      <c r="N18" s="279"/>
      <c r="O18" s="324">
        <v>1</v>
      </c>
      <c r="P18" s="279"/>
      <c r="Q18" s="278"/>
      <c r="R18" s="278"/>
      <c r="S18" s="278"/>
      <c r="T18" s="278"/>
      <c r="U18" s="279"/>
      <c r="V18" s="279"/>
      <c r="W18" s="279"/>
      <c r="X18" s="279"/>
      <c r="Y18" s="279"/>
      <c r="Z18" s="279"/>
      <c r="AA18" s="279"/>
      <c r="AB18" s="279"/>
      <c r="AC18" s="279"/>
      <c r="AD18" s="279"/>
      <c r="AE18" s="279"/>
      <c r="AF18" s="278"/>
    </row>
    <row r="19" spans="1:32" s="102" customFormat="1" ht="15.6" x14ac:dyDescent="0.3">
      <c r="A19" s="278"/>
      <c r="B19" s="291"/>
      <c r="C19" s="217">
        <f t="shared" si="6"/>
        <v>16</v>
      </c>
      <c r="D19" s="163">
        <v>1</v>
      </c>
      <c r="E19" s="219">
        <f t="shared" si="1"/>
        <v>12000</v>
      </c>
      <c r="F19" s="97">
        <f t="shared" si="2"/>
        <v>0.35</v>
      </c>
      <c r="G19" s="109">
        <f t="shared" si="3"/>
        <v>4200</v>
      </c>
      <c r="H19" s="97">
        <f t="shared" si="8"/>
        <v>2222.7429980832462</v>
      </c>
      <c r="I19" s="109">
        <f t="shared" si="4"/>
        <v>1977.2570019167538</v>
      </c>
      <c r="J19" s="109">
        <f t="shared" si="0"/>
        <v>577.14247077776054</v>
      </c>
      <c r="K19" s="109">
        <f t="shared" si="7"/>
        <v>-3394.3601955162653</v>
      </c>
      <c r="L19" s="220">
        <f t="shared" si="5"/>
        <v>-383.45122041877113</v>
      </c>
      <c r="M19" s="350"/>
      <c r="N19" s="279"/>
      <c r="O19" s="324">
        <v>1</v>
      </c>
      <c r="P19" s="279"/>
      <c r="Q19" s="278"/>
      <c r="R19" s="278"/>
      <c r="S19" s="278"/>
      <c r="T19" s="278"/>
      <c r="U19" s="279"/>
      <c r="V19" s="279"/>
      <c r="W19" s="279"/>
      <c r="X19" s="279"/>
      <c r="Y19" s="279"/>
      <c r="Z19" s="279"/>
      <c r="AA19" s="279"/>
      <c r="AB19" s="279"/>
      <c r="AC19" s="279"/>
      <c r="AD19" s="279"/>
      <c r="AE19" s="279"/>
      <c r="AF19" s="278"/>
    </row>
    <row r="20" spans="1:32" s="102" customFormat="1" ht="15.6" x14ac:dyDescent="0.3">
      <c r="A20" s="278"/>
      <c r="B20" s="291"/>
      <c r="C20" s="217">
        <f t="shared" si="6"/>
        <v>17</v>
      </c>
      <c r="D20" s="163">
        <v>1</v>
      </c>
      <c r="E20" s="219">
        <f t="shared" si="1"/>
        <v>12000</v>
      </c>
      <c r="F20" s="97">
        <f t="shared" si="2"/>
        <v>0.35</v>
      </c>
      <c r="G20" s="109">
        <f t="shared" si="3"/>
        <v>4200</v>
      </c>
      <c r="H20" s="97">
        <f t="shared" si="8"/>
        <v>2222.7429980832462</v>
      </c>
      <c r="I20" s="109">
        <f t="shared" si="4"/>
        <v>1977.2570019167538</v>
      </c>
      <c r="J20" s="109">
        <f t="shared" si="0"/>
        <v>534.39117664607465</v>
      </c>
      <c r="K20" s="109">
        <f t="shared" si="7"/>
        <v>-2859.9690188701907</v>
      </c>
      <c r="L20" s="220">
        <f t="shared" si="5"/>
        <v>-313.50714821116122</v>
      </c>
      <c r="M20" s="350"/>
      <c r="N20" s="279"/>
      <c r="O20" s="324">
        <v>1</v>
      </c>
      <c r="P20" s="279"/>
      <c r="Q20" s="278"/>
      <c r="R20" s="278"/>
      <c r="S20" s="278"/>
      <c r="T20" s="278"/>
      <c r="U20" s="279"/>
      <c r="V20" s="279"/>
      <c r="W20" s="279"/>
      <c r="X20" s="279"/>
      <c r="Y20" s="279"/>
      <c r="Z20" s="279"/>
      <c r="AA20" s="279"/>
      <c r="AB20" s="279"/>
      <c r="AC20" s="279"/>
      <c r="AD20" s="279"/>
      <c r="AE20" s="279"/>
      <c r="AF20" s="278"/>
    </row>
    <row r="21" spans="1:32" s="102" customFormat="1" ht="15.6" x14ac:dyDescent="0.3">
      <c r="A21" s="278"/>
      <c r="B21" s="291"/>
      <c r="C21" s="217">
        <f t="shared" si="6"/>
        <v>18</v>
      </c>
      <c r="D21" s="163">
        <v>1</v>
      </c>
      <c r="E21" s="219">
        <f t="shared" si="1"/>
        <v>12000</v>
      </c>
      <c r="F21" s="97">
        <f t="shared" si="2"/>
        <v>0.35</v>
      </c>
      <c r="G21" s="109">
        <f t="shared" si="3"/>
        <v>4200</v>
      </c>
      <c r="H21" s="97">
        <f t="shared" si="8"/>
        <v>2222.7429980832462</v>
      </c>
      <c r="I21" s="109">
        <f t="shared" si="4"/>
        <v>1977.2570019167538</v>
      </c>
      <c r="J21" s="109">
        <f t="shared" si="0"/>
        <v>494.80664504266161</v>
      </c>
      <c r="K21" s="109">
        <f t="shared" si="7"/>
        <v>-2365.1623738275289</v>
      </c>
      <c r="L21" s="220">
        <f t="shared" si="5"/>
        <v>-252.3410803467539</v>
      </c>
      <c r="M21" s="350"/>
      <c r="N21" s="279"/>
      <c r="O21" s="324">
        <v>1</v>
      </c>
      <c r="P21" s="279"/>
      <c r="Q21" s="278"/>
      <c r="R21" s="278"/>
      <c r="S21" s="278"/>
      <c r="T21" s="278"/>
      <c r="U21" s="279"/>
      <c r="V21" s="279"/>
      <c r="W21" s="279"/>
      <c r="X21" s="279"/>
      <c r="Y21" s="279"/>
      <c r="Z21" s="279"/>
      <c r="AA21" s="279"/>
      <c r="AB21" s="279"/>
      <c r="AC21" s="279"/>
      <c r="AD21" s="279"/>
      <c r="AE21" s="279"/>
      <c r="AF21" s="278"/>
    </row>
    <row r="22" spans="1:32" s="102" customFormat="1" ht="16.2" thickBot="1" x14ac:dyDescent="0.35">
      <c r="A22" s="278"/>
      <c r="B22" s="291"/>
      <c r="C22" s="217">
        <f t="shared" si="6"/>
        <v>19</v>
      </c>
      <c r="D22" s="163">
        <v>1</v>
      </c>
      <c r="E22" s="219">
        <f t="shared" si="1"/>
        <v>12000</v>
      </c>
      <c r="F22" s="97">
        <f t="shared" si="2"/>
        <v>0.35</v>
      </c>
      <c r="G22" s="109">
        <f t="shared" si="3"/>
        <v>4200</v>
      </c>
      <c r="H22" s="97">
        <f t="shared" si="8"/>
        <v>2222.7429980832462</v>
      </c>
      <c r="I22" s="109">
        <f t="shared" si="4"/>
        <v>1977.2570019167538</v>
      </c>
      <c r="J22" s="109">
        <f t="shared" si="0"/>
        <v>458.15430096542735</v>
      </c>
      <c r="K22" s="109">
        <f t="shared" si="7"/>
        <v>-1907.0080728621015</v>
      </c>
      <c r="L22" s="220">
        <f t="shared" si="5"/>
        <v>-198.54809859090369</v>
      </c>
      <c r="M22" s="350"/>
      <c r="N22" s="279"/>
      <c r="O22" s="324">
        <v>1</v>
      </c>
      <c r="P22" s="279"/>
      <c r="Q22" s="278"/>
      <c r="R22" s="278"/>
      <c r="S22" s="278"/>
      <c r="T22" s="278"/>
      <c r="U22" s="279"/>
      <c r="V22" s="279"/>
      <c r="W22" s="279"/>
      <c r="X22" s="279"/>
      <c r="Y22" s="279"/>
      <c r="Z22" s="279"/>
      <c r="AA22" s="279"/>
      <c r="AB22" s="279"/>
      <c r="AC22" s="279"/>
      <c r="AD22" s="279"/>
      <c r="AE22" s="279"/>
      <c r="AF22" s="278"/>
    </row>
    <row r="23" spans="1:32" s="102" customFormat="1" ht="16.2" thickBot="1" x14ac:dyDescent="0.35">
      <c r="A23" s="278"/>
      <c r="B23" s="291"/>
      <c r="C23" s="217">
        <f t="shared" si="6"/>
        <v>20</v>
      </c>
      <c r="D23" s="163">
        <v>1</v>
      </c>
      <c r="E23" s="219">
        <f t="shared" si="1"/>
        <v>12000</v>
      </c>
      <c r="F23" s="97">
        <f t="shared" si="2"/>
        <v>0.35</v>
      </c>
      <c r="G23" s="109">
        <f t="shared" si="3"/>
        <v>4200</v>
      </c>
      <c r="H23" s="97">
        <f t="shared" si="8"/>
        <v>2222.7429980832462</v>
      </c>
      <c r="I23" s="109">
        <f t="shared" si="4"/>
        <v>1977.2570019167538</v>
      </c>
      <c r="J23" s="109">
        <f t="shared" si="0"/>
        <v>424.2169453383587</v>
      </c>
      <c r="K23" s="109">
        <f t="shared" si="7"/>
        <v>-1482.7911275237427</v>
      </c>
      <c r="L23" s="358">
        <f t="shared" ref="L23:L47" si="9">-PMT($U$4,C23,K23,1)</f>
        <v>-151.00369935284004</v>
      </c>
      <c r="M23" s="350">
        <v>20</v>
      </c>
      <c r="N23" s="279"/>
      <c r="O23" s="324">
        <v>1</v>
      </c>
      <c r="P23" s="279"/>
      <c r="Q23" s="278"/>
      <c r="R23" s="278"/>
      <c r="S23" s="278"/>
      <c r="T23" s="278"/>
      <c r="U23" s="279"/>
      <c r="V23" s="279"/>
      <c r="W23" s="279"/>
      <c r="X23" s="279"/>
      <c r="Y23" s="279"/>
      <c r="Z23" s="279"/>
      <c r="AA23" s="279"/>
      <c r="AB23" s="279"/>
      <c r="AC23" s="279"/>
      <c r="AD23" s="279"/>
      <c r="AE23" s="279"/>
      <c r="AF23" s="278"/>
    </row>
    <row r="24" spans="1:32" s="102" customFormat="1" ht="15.6" x14ac:dyDescent="0.3">
      <c r="A24" s="278"/>
      <c r="B24" s="291"/>
      <c r="C24" s="217">
        <f t="shared" si="6"/>
        <v>21</v>
      </c>
      <c r="D24" s="163">
        <v>1</v>
      </c>
      <c r="E24" s="219">
        <f t="shared" si="1"/>
        <v>12000</v>
      </c>
      <c r="F24" s="97">
        <f t="shared" si="2"/>
        <v>0.35</v>
      </c>
      <c r="G24" s="109">
        <f t="shared" si="3"/>
        <v>4200</v>
      </c>
      <c r="H24" s="97">
        <f t="shared" si="8"/>
        <v>2222.7429980832462</v>
      </c>
      <c r="I24" s="109">
        <f t="shared" si="4"/>
        <v>1977.2570019167538</v>
      </c>
      <c r="J24" s="109">
        <f t="shared" si="0"/>
        <v>392.79346790588767</v>
      </c>
      <c r="K24" s="109">
        <f t="shared" si="7"/>
        <v>-1089.9976596178551</v>
      </c>
      <c r="L24" s="220">
        <f t="shared" si="9"/>
        <v>-108.79708695496406</v>
      </c>
      <c r="M24" s="350"/>
      <c r="N24" s="279"/>
      <c r="O24" s="324">
        <v>1</v>
      </c>
      <c r="P24" s="279"/>
      <c r="Q24" s="278"/>
      <c r="R24" s="278"/>
      <c r="S24" s="278"/>
      <c r="T24" s="278"/>
      <c r="U24" s="279"/>
      <c r="V24" s="279"/>
      <c r="W24" s="279"/>
      <c r="X24" s="279"/>
      <c r="Y24" s="279"/>
      <c r="Z24" s="279"/>
      <c r="AA24" s="279"/>
      <c r="AB24" s="279"/>
      <c r="AC24" s="279"/>
      <c r="AD24" s="279"/>
      <c r="AE24" s="279"/>
      <c r="AF24" s="278"/>
    </row>
    <row r="25" spans="1:32" s="102" customFormat="1" ht="15.6" x14ac:dyDescent="0.3">
      <c r="A25" s="278"/>
      <c r="B25" s="291"/>
      <c r="C25" s="217">
        <f t="shared" si="6"/>
        <v>22</v>
      </c>
      <c r="D25" s="163">
        <v>1</v>
      </c>
      <c r="E25" s="219">
        <f t="shared" si="1"/>
        <v>12000</v>
      </c>
      <c r="F25" s="97">
        <f t="shared" si="2"/>
        <v>0.35</v>
      </c>
      <c r="G25" s="109">
        <f t="shared" si="3"/>
        <v>4200</v>
      </c>
      <c r="H25" s="97">
        <f t="shared" si="8"/>
        <v>2222.7429980832462</v>
      </c>
      <c r="I25" s="109">
        <f t="shared" si="4"/>
        <v>1977.2570019167538</v>
      </c>
      <c r="J25" s="109">
        <f t="shared" si="0"/>
        <v>363.69765546841444</v>
      </c>
      <c r="K25" s="109">
        <f t="shared" si="7"/>
        <v>-726.30000414944061</v>
      </c>
      <c r="L25" s="220">
        <f t="shared" si="9"/>
        <v>-71.182659588016463</v>
      </c>
      <c r="M25" s="350"/>
      <c r="N25" s="279"/>
      <c r="O25" s="324">
        <v>1</v>
      </c>
      <c r="P25" s="279"/>
      <c r="Q25" s="278"/>
      <c r="R25" s="278"/>
      <c r="S25" s="278"/>
      <c r="T25" s="278"/>
      <c r="U25" s="279"/>
      <c r="V25" s="279"/>
      <c r="W25" s="279"/>
      <c r="X25" s="279"/>
      <c r="Y25" s="279"/>
      <c r="Z25" s="279"/>
      <c r="AA25" s="279"/>
      <c r="AB25" s="279"/>
      <c r="AC25" s="279"/>
      <c r="AD25" s="279"/>
      <c r="AE25" s="279"/>
      <c r="AF25" s="278"/>
    </row>
    <row r="26" spans="1:32" s="102" customFormat="1" ht="15.6" x14ac:dyDescent="0.3">
      <c r="A26" s="278"/>
      <c r="B26" s="291"/>
      <c r="C26" s="217">
        <f t="shared" si="6"/>
        <v>23</v>
      </c>
      <c r="D26" s="163">
        <v>1</v>
      </c>
      <c r="E26" s="219">
        <f t="shared" si="1"/>
        <v>12000</v>
      </c>
      <c r="F26" s="97">
        <f t="shared" si="2"/>
        <v>0.35</v>
      </c>
      <c r="G26" s="109">
        <f t="shared" si="3"/>
        <v>4200</v>
      </c>
      <c r="H26" s="97">
        <f t="shared" si="8"/>
        <v>2222.7429980832462</v>
      </c>
      <c r="I26" s="109">
        <f t="shared" si="4"/>
        <v>1977.2570019167538</v>
      </c>
      <c r="J26" s="109">
        <f t="shared" si="0"/>
        <v>336.75708839668005</v>
      </c>
      <c r="K26" s="109">
        <f t="shared" si="7"/>
        <v>-389.54291575276056</v>
      </c>
      <c r="L26" s="220">
        <f t="shared" si="9"/>
        <v>-37.544150745066013</v>
      </c>
      <c r="M26" s="350"/>
      <c r="N26" s="279"/>
      <c r="O26" s="324">
        <v>1</v>
      </c>
      <c r="P26" s="279"/>
      <c r="Q26" s="278"/>
      <c r="R26" s="278"/>
      <c r="S26" s="278"/>
      <c r="T26" s="278"/>
      <c r="U26" s="279"/>
      <c r="V26" s="279"/>
      <c r="W26" s="279"/>
      <c r="X26" s="279"/>
      <c r="Y26" s="279"/>
      <c r="Z26" s="279"/>
      <c r="AA26" s="279"/>
      <c r="AB26" s="279"/>
      <c r="AC26" s="279"/>
      <c r="AD26" s="279"/>
      <c r="AE26" s="279"/>
      <c r="AF26" s="278"/>
    </row>
    <row r="27" spans="1:32" s="102" customFormat="1" ht="16.2" thickBot="1" x14ac:dyDescent="0.35">
      <c r="A27" s="278"/>
      <c r="B27" s="291"/>
      <c r="C27" s="217">
        <f t="shared" si="6"/>
        <v>24</v>
      </c>
      <c r="D27" s="163">
        <v>1</v>
      </c>
      <c r="E27" s="219">
        <f t="shared" si="1"/>
        <v>12000</v>
      </c>
      <c r="F27" s="97">
        <f t="shared" si="2"/>
        <v>0.35</v>
      </c>
      <c r="G27" s="109">
        <f t="shared" si="3"/>
        <v>4200</v>
      </c>
      <c r="H27" s="97">
        <f t="shared" si="8"/>
        <v>2222.7429980832462</v>
      </c>
      <c r="I27" s="109">
        <f t="shared" si="4"/>
        <v>1977.2570019167538</v>
      </c>
      <c r="J27" s="109">
        <f t="shared" si="0"/>
        <v>311.81211888581487</v>
      </c>
      <c r="K27" s="109">
        <f t="shared" si="7"/>
        <v>-77.730796866945695</v>
      </c>
      <c r="L27" s="220">
        <f t="shared" si="9"/>
        <v>-7.3677346786385174</v>
      </c>
      <c r="M27" s="350"/>
      <c r="N27" s="279"/>
      <c r="O27" s="324">
        <v>1</v>
      </c>
      <c r="P27" s="279"/>
      <c r="Q27" s="278"/>
      <c r="R27" s="278"/>
      <c r="S27" s="278"/>
      <c r="T27" s="278"/>
      <c r="U27" s="279"/>
      <c r="V27" s="279"/>
      <c r="W27" s="279"/>
      <c r="X27" s="279"/>
      <c r="Y27" s="279"/>
      <c r="Z27" s="279"/>
      <c r="AA27" s="279"/>
      <c r="AB27" s="279"/>
      <c r="AC27" s="279"/>
      <c r="AD27" s="279"/>
      <c r="AE27" s="279"/>
      <c r="AF27" s="278"/>
    </row>
    <row r="28" spans="1:32" s="102" customFormat="1" ht="16.2" thickBot="1" x14ac:dyDescent="0.35">
      <c r="A28" s="278"/>
      <c r="B28" s="291"/>
      <c r="C28" s="356">
        <f t="shared" si="6"/>
        <v>25</v>
      </c>
      <c r="D28" s="163">
        <v>1</v>
      </c>
      <c r="E28" s="219">
        <f t="shared" si="1"/>
        <v>12000</v>
      </c>
      <c r="F28" s="97">
        <f t="shared" si="2"/>
        <v>0.35</v>
      </c>
      <c r="G28" s="109">
        <f t="shared" si="3"/>
        <v>4200</v>
      </c>
      <c r="H28" s="97">
        <f t="shared" si="8"/>
        <v>2222.7429980832462</v>
      </c>
      <c r="I28" s="109">
        <f t="shared" si="4"/>
        <v>1977.2570019167538</v>
      </c>
      <c r="J28" s="109">
        <f t="shared" si="0"/>
        <v>288.714924894273</v>
      </c>
      <c r="K28" s="109">
        <f t="shared" si="7"/>
        <v>210.9841280273273</v>
      </c>
      <c r="L28" s="361">
        <f t="shared" si="9"/>
        <v>19.778414291996118</v>
      </c>
      <c r="M28" s="359">
        <v>25</v>
      </c>
      <c r="N28" s="279"/>
      <c r="O28" s="324">
        <v>1</v>
      </c>
      <c r="P28" s="279"/>
      <c r="Q28" s="278"/>
      <c r="R28" s="278"/>
      <c r="S28" s="278"/>
      <c r="T28" s="278"/>
      <c r="U28" s="279"/>
      <c r="V28" s="279"/>
      <c r="W28" s="279"/>
      <c r="X28" s="279"/>
      <c r="Y28" s="279"/>
      <c r="Z28" s="279"/>
      <c r="AA28" s="279"/>
      <c r="AB28" s="279"/>
      <c r="AC28" s="279"/>
      <c r="AD28" s="279"/>
      <c r="AE28" s="279"/>
      <c r="AF28" s="278"/>
    </row>
    <row r="29" spans="1:32" s="102" customFormat="1" ht="15.6" x14ac:dyDescent="0.3">
      <c r="A29" s="278"/>
      <c r="B29" s="291"/>
      <c r="C29" s="217">
        <f t="shared" si="6"/>
        <v>26</v>
      </c>
      <c r="D29" s="163">
        <f>D28-2%</f>
        <v>0.98</v>
      </c>
      <c r="E29" s="219">
        <f t="shared" si="1"/>
        <v>11760</v>
      </c>
      <c r="F29" s="97">
        <f t="shared" si="2"/>
        <v>0.35</v>
      </c>
      <c r="G29" s="109">
        <f t="shared" si="3"/>
        <v>4116</v>
      </c>
      <c r="H29" s="97">
        <f t="shared" si="8"/>
        <v>2222.7429980832462</v>
      </c>
      <c r="I29" s="109">
        <f t="shared" si="4"/>
        <v>1893.2570019167538</v>
      </c>
      <c r="J29" s="109">
        <f t="shared" si="0"/>
        <v>255.97168600147063</v>
      </c>
      <c r="K29" s="109">
        <f t="shared" si="7"/>
        <v>466.95581402879793</v>
      </c>
      <c r="L29" s="220">
        <f t="shared" si="9"/>
        <v>43.209247775481437</v>
      </c>
      <c r="M29" s="350"/>
      <c r="N29" s="279"/>
      <c r="O29" s="324">
        <v>1</v>
      </c>
      <c r="P29" s="279"/>
      <c r="Q29" s="278"/>
      <c r="R29" s="278"/>
      <c r="S29" s="278"/>
      <c r="T29" s="278"/>
      <c r="U29" s="279"/>
      <c r="V29" s="279"/>
      <c r="W29" s="279"/>
      <c r="X29" s="279"/>
      <c r="Y29" s="279"/>
      <c r="Z29" s="279"/>
      <c r="AA29" s="279"/>
      <c r="AB29" s="279"/>
      <c r="AC29" s="279"/>
      <c r="AD29" s="279"/>
      <c r="AE29" s="279"/>
      <c r="AF29" s="278"/>
    </row>
    <row r="30" spans="1:32" s="102" customFormat="1" ht="15.6" x14ac:dyDescent="0.3">
      <c r="A30" s="278"/>
      <c r="B30" s="291"/>
      <c r="C30" s="217">
        <f t="shared" si="6"/>
        <v>27</v>
      </c>
      <c r="D30" s="163">
        <f t="shared" ref="D30:D54" si="10">D29-2%</f>
        <v>0.96</v>
      </c>
      <c r="E30" s="219">
        <f t="shared" si="1"/>
        <v>11520</v>
      </c>
      <c r="F30" s="97">
        <f t="shared" si="2"/>
        <v>0.35</v>
      </c>
      <c r="G30" s="109">
        <f t="shared" si="3"/>
        <v>4031.9999999999995</v>
      </c>
      <c r="H30" s="97">
        <f t="shared" si="8"/>
        <v>2222.7429980832462</v>
      </c>
      <c r="I30" s="109">
        <f t="shared" si="4"/>
        <v>1809.2570019167533</v>
      </c>
      <c r="J30" s="109">
        <f t="shared" si="0"/>
        <v>226.49512763109007</v>
      </c>
      <c r="K30" s="109">
        <f t="shared" si="7"/>
        <v>693.45094165988803</v>
      </c>
      <c r="L30" s="220">
        <f t="shared" si="9"/>
        <v>63.42621652434714</v>
      </c>
      <c r="M30" s="350"/>
      <c r="N30" s="279"/>
      <c r="O30" s="324">
        <v>1</v>
      </c>
      <c r="P30" s="279"/>
      <c r="Q30" s="278"/>
      <c r="R30" s="278"/>
      <c r="S30" s="278"/>
      <c r="T30" s="278"/>
      <c r="U30" s="279"/>
      <c r="V30" s="279"/>
      <c r="W30" s="279"/>
      <c r="X30" s="279"/>
      <c r="Y30" s="279"/>
      <c r="Z30" s="279"/>
      <c r="AA30" s="279"/>
      <c r="AB30" s="279"/>
      <c r="AC30" s="279"/>
      <c r="AD30" s="279"/>
      <c r="AE30" s="279"/>
      <c r="AF30" s="278"/>
    </row>
    <row r="31" spans="1:32" s="102" customFormat="1" ht="15.6" x14ac:dyDescent="0.3">
      <c r="A31" s="278"/>
      <c r="B31" s="291"/>
      <c r="C31" s="217">
        <f t="shared" si="6"/>
        <v>28</v>
      </c>
      <c r="D31" s="163">
        <f t="shared" si="10"/>
        <v>0.94</v>
      </c>
      <c r="E31" s="219">
        <f t="shared" si="1"/>
        <v>11280</v>
      </c>
      <c r="F31" s="97">
        <f t="shared" si="2"/>
        <v>0.35</v>
      </c>
      <c r="G31" s="109">
        <f t="shared" si="3"/>
        <v>3947.9999999999995</v>
      </c>
      <c r="H31" s="97">
        <f t="shared" si="8"/>
        <v>2222.7429980832462</v>
      </c>
      <c r="I31" s="109">
        <f t="shared" si="4"/>
        <v>1725.2570019167533</v>
      </c>
      <c r="J31" s="109">
        <f t="shared" si="0"/>
        <v>199.98095823189644</v>
      </c>
      <c r="K31" s="109">
        <f t="shared" si="7"/>
        <v>893.4318998917845</v>
      </c>
      <c r="L31" s="220">
        <f t="shared" si="9"/>
        <v>80.856163885353041</v>
      </c>
      <c r="M31" s="350"/>
      <c r="N31" s="279"/>
      <c r="O31" s="324">
        <v>1</v>
      </c>
      <c r="P31" s="279"/>
      <c r="Q31" s="278"/>
      <c r="R31" s="278"/>
      <c r="S31" s="278"/>
      <c r="T31" s="278"/>
      <c r="U31" s="279"/>
      <c r="V31" s="279"/>
      <c r="W31" s="279"/>
      <c r="X31" s="279"/>
      <c r="Y31" s="279"/>
      <c r="Z31" s="279"/>
      <c r="AA31" s="279"/>
      <c r="AB31" s="279"/>
      <c r="AC31" s="279"/>
      <c r="AD31" s="279"/>
      <c r="AE31" s="279"/>
      <c r="AF31" s="278"/>
    </row>
    <row r="32" spans="1:32" s="102" customFormat="1" ht="16.2" thickBot="1" x14ac:dyDescent="0.35">
      <c r="A32" s="278"/>
      <c r="B32" s="291"/>
      <c r="C32" s="217">
        <f t="shared" si="6"/>
        <v>29</v>
      </c>
      <c r="D32" s="163">
        <f t="shared" si="10"/>
        <v>0.91999999999999993</v>
      </c>
      <c r="E32" s="219">
        <f t="shared" si="1"/>
        <v>11040</v>
      </c>
      <c r="F32" s="97">
        <f t="shared" si="2"/>
        <v>0.35</v>
      </c>
      <c r="G32" s="109">
        <f t="shared" si="3"/>
        <v>3863.9999999999995</v>
      </c>
      <c r="H32" s="97">
        <f t="shared" si="8"/>
        <v>2222.7429980832462</v>
      </c>
      <c r="I32" s="109">
        <f t="shared" si="4"/>
        <v>1641.2570019167533</v>
      </c>
      <c r="J32" s="109">
        <f t="shared" si="0"/>
        <v>176.15204230950465</v>
      </c>
      <c r="K32" s="109">
        <f t="shared" si="7"/>
        <v>1069.5839422012891</v>
      </c>
      <c r="L32" s="220">
        <f t="shared" si="9"/>
        <v>95.864164532678075</v>
      </c>
      <c r="M32" s="350"/>
      <c r="N32" s="279"/>
      <c r="O32" s="324">
        <v>1</v>
      </c>
      <c r="P32" s="279"/>
      <c r="Q32" s="278"/>
      <c r="R32" s="278"/>
      <c r="S32" s="278"/>
      <c r="T32" s="278"/>
      <c r="U32" s="279"/>
      <c r="V32" s="279"/>
      <c r="W32" s="279"/>
      <c r="X32" s="279"/>
      <c r="Y32" s="279"/>
      <c r="Z32" s="279"/>
      <c r="AA32" s="279"/>
      <c r="AB32" s="279"/>
      <c r="AC32" s="279"/>
      <c r="AD32" s="279"/>
      <c r="AE32" s="279"/>
      <c r="AF32" s="278"/>
    </row>
    <row r="33" spans="1:32" s="102" customFormat="1" ht="16.2" thickBot="1" x14ac:dyDescent="0.35">
      <c r="A33" s="278"/>
      <c r="B33" s="291"/>
      <c r="C33" s="217">
        <f t="shared" si="6"/>
        <v>30</v>
      </c>
      <c r="D33" s="163">
        <f t="shared" si="10"/>
        <v>0.89999999999999991</v>
      </c>
      <c r="E33" s="219">
        <f t="shared" si="1"/>
        <v>10799.999999999998</v>
      </c>
      <c r="F33" s="97">
        <f t="shared" si="2"/>
        <v>0.35</v>
      </c>
      <c r="G33" s="109">
        <f t="shared" si="3"/>
        <v>3779.9999999999991</v>
      </c>
      <c r="H33" s="97">
        <f t="shared" si="8"/>
        <v>2222.7429980832462</v>
      </c>
      <c r="I33" s="109">
        <f t="shared" si="4"/>
        <v>1557.2570019167529</v>
      </c>
      <c r="J33" s="109">
        <f t="shared" si="0"/>
        <v>154.75604694498759</v>
      </c>
      <c r="K33" s="109">
        <f t="shared" si="7"/>
        <v>1224.3399891462768</v>
      </c>
      <c r="L33" s="358">
        <f t="shared" si="9"/>
        <v>108.76380626265185</v>
      </c>
      <c r="M33" s="350">
        <v>30</v>
      </c>
      <c r="N33" s="279"/>
      <c r="O33" s="324">
        <v>1</v>
      </c>
      <c r="P33" s="279"/>
      <c r="Q33" s="278"/>
      <c r="R33" s="278"/>
      <c r="S33" s="278"/>
      <c r="T33" s="278"/>
      <c r="U33" s="279"/>
      <c r="V33" s="279"/>
      <c r="W33" s="279"/>
      <c r="X33" s="279"/>
      <c r="Y33" s="279"/>
      <c r="Z33" s="279"/>
      <c r="AA33" s="279"/>
      <c r="AB33" s="279"/>
      <c r="AC33" s="279"/>
      <c r="AD33" s="279"/>
      <c r="AE33" s="279"/>
      <c r="AF33" s="278"/>
    </row>
    <row r="34" spans="1:32" s="102" customFormat="1" ht="15.6" x14ac:dyDescent="0.3">
      <c r="A34" s="278"/>
      <c r="B34" s="291"/>
      <c r="C34" s="217">
        <f t="shared" si="6"/>
        <v>31</v>
      </c>
      <c r="D34" s="163">
        <f t="shared" si="10"/>
        <v>0.87999999999999989</v>
      </c>
      <c r="E34" s="219">
        <f t="shared" si="1"/>
        <v>10559.999999999998</v>
      </c>
      <c r="F34" s="97">
        <f t="shared" si="2"/>
        <v>0.35</v>
      </c>
      <c r="G34" s="109">
        <f t="shared" si="3"/>
        <v>3695.9999999999991</v>
      </c>
      <c r="H34" s="97">
        <f t="shared" si="8"/>
        <v>2222.7429980832462</v>
      </c>
      <c r="I34" s="109">
        <f t="shared" si="4"/>
        <v>1473.2570019167529</v>
      </c>
      <c r="J34" s="109">
        <f t="shared" si="0"/>
        <v>135.56328797296692</v>
      </c>
      <c r="K34" s="109">
        <f t="shared" si="7"/>
        <v>1359.9032771192437</v>
      </c>
      <c r="L34" s="220">
        <f t="shared" si="9"/>
        <v>119.82549173092015</v>
      </c>
      <c r="M34" s="350"/>
      <c r="N34" s="279"/>
      <c r="O34" s="324">
        <v>1</v>
      </c>
      <c r="P34" s="279"/>
      <c r="Q34" s="278"/>
      <c r="R34" s="278"/>
      <c r="S34" s="278"/>
      <c r="T34" s="278"/>
      <c r="U34" s="279"/>
      <c r="V34" s="279"/>
      <c r="W34" s="279"/>
      <c r="X34" s="279"/>
      <c r="Y34" s="279"/>
      <c r="Z34" s="279"/>
      <c r="AA34" s="279"/>
      <c r="AB34" s="279"/>
      <c r="AC34" s="279"/>
      <c r="AD34" s="279"/>
      <c r="AE34" s="279"/>
      <c r="AF34" s="278"/>
    </row>
    <row r="35" spans="1:32" s="102" customFormat="1" ht="15.6" x14ac:dyDescent="0.3">
      <c r="A35" s="278"/>
      <c r="B35" s="291"/>
      <c r="C35" s="217">
        <f t="shared" si="6"/>
        <v>32</v>
      </c>
      <c r="D35" s="163">
        <f t="shared" si="10"/>
        <v>0.85999999999999988</v>
      </c>
      <c r="E35" s="219">
        <f t="shared" si="1"/>
        <v>10319.999999999998</v>
      </c>
      <c r="F35" s="97">
        <f t="shared" si="2"/>
        <v>0.35</v>
      </c>
      <c r="G35" s="109">
        <f t="shared" si="3"/>
        <v>3611.9999999999991</v>
      </c>
      <c r="H35" s="97">
        <f t="shared" si="8"/>
        <v>2222.7429980832462</v>
      </c>
      <c r="I35" s="109">
        <f t="shared" si="4"/>
        <v>1389.2570019167529</v>
      </c>
      <c r="J35" s="109">
        <f t="shared" si="0"/>
        <v>118.36475915348163</v>
      </c>
      <c r="K35" s="109">
        <f t="shared" si="7"/>
        <v>1478.2680362727253</v>
      </c>
      <c r="L35" s="220">
        <f t="shared" si="9"/>
        <v>129.28319275253168</v>
      </c>
      <c r="M35" s="350"/>
      <c r="N35" s="279"/>
      <c r="O35" s="324">
        <v>1</v>
      </c>
      <c r="P35" s="279"/>
      <c r="Q35" s="278"/>
      <c r="R35" s="278"/>
      <c r="S35" s="278"/>
      <c r="T35" s="278"/>
      <c r="U35" s="279"/>
      <c r="V35" s="279"/>
      <c r="W35" s="279"/>
      <c r="X35" s="279"/>
      <c r="Y35" s="279"/>
      <c r="Z35" s="279"/>
      <c r="AA35" s="279"/>
      <c r="AB35" s="279"/>
      <c r="AC35" s="279"/>
      <c r="AD35" s="279"/>
      <c r="AE35" s="279"/>
      <c r="AF35" s="278"/>
    </row>
    <row r="36" spans="1:32" s="102" customFormat="1" ht="15.6" x14ac:dyDescent="0.3">
      <c r="A36" s="278"/>
      <c r="B36" s="291"/>
      <c r="C36" s="217">
        <f t="shared" si="6"/>
        <v>33</v>
      </c>
      <c r="D36" s="163">
        <f t="shared" si="10"/>
        <v>0.83999999999999986</v>
      </c>
      <c r="E36" s="219">
        <f t="shared" si="1"/>
        <v>10079.999999999998</v>
      </c>
      <c r="F36" s="97">
        <f t="shared" si="2"/>
        <v>0.35</v>
      </c>
      <c r="G36" s="109">
        <f t="shared" si="3"/>
        <v>3527.9999999999991</v>
      </c>
      <c r="H36" s="97">
        <f t="shared" si="8"/>
        <v>2222.7429980832462</v>
      </c>
      <c r="I36" s="109">
        <f t="shared" si="4"/>
        <v>1305.2570019167529</v>
      </c>
      <c r="J36" s="109">
        <f t="shared" si="0"/>
        <v>102.970329045399</v>
      </c>
      <c r="K36" s="109">
        <f t="shared" si="7"/>
        <v>1581.2383653181244</v>
      </c>
      <c r="L36" s="220">
        <f t="shared" si="9"/>
        <v>137.33998487602173</v>
      </c>
      <c r="M36" s="350"/>
      <c r="N36" s="279"/>
      <c r="O36" s="324">
        <v>1</v>
      </c>
      <c r="P36" s="279"/>
      <c r="Q36" s="278"/>
      <c r="R36" s="278"/>
      <c r="S36" s="278"/>
      <c r="T36" s="278"/>
      <c r="U36" s="279"/>
      <c r="V36" s="279"/>
      <c r="W36" s="279"/>
      <c r="X36" s="279"/>
      <c r="Y36" s="279"/>
      <c r="Z36" s="279"/>
      <c r="AA36" s="279"/>
      <c r="AB36" s="279"/>
      <c r="AC36" s="279"/>
      <c r="AD36" s="279"/>
      <c r="AE36" s="279"/>
      <c r="AF36" s="278"/>
    </row>
    <row r="37" spans="1:32" s="102" customFormat="1" ht="15.6" x14ac:dyDescent="0.3">
      <c r="A37" s="278"/>
      <c r="B37" s="291"/>
      <c r="C37" s="217">
        <f t="shared" si="6"/>
        <v>34</v>
      </c>
      <c r="D37" s="163">
        <f t="shared" si="10"/>
        <v>0.81999999999999984</v>
      </c>
      <c r="E37" s="219">
        <f t="shared" si="1"/>
        <v>9839.9999999999982</v>
      </c>
      <c r="F37" s="97">
        <f t="shared" si="2"/>
        <v>0.35</v>
      </c>
      <c r="G37" s="109">
        <f t="shared" si="3"/>
        <v>3443.9999999999991</v>
      </c>
      <c r="H37" s="97">
        <f t="shared" si="8"/>
        <v>2222.7429980832462</v>
      </c>
      <c r="I37" s="109">
        <f t="shared" si="4"/>
        <v>1221.2570019167529</v>
      </c>
      <c r="J37" s="109">
        <f t="shared" si="0"/>
        <v>89.207091550566034</v>
      </c>
      <c r="K37" s="109">
        <f t="shared" si="7"/>
        <v>1670.4454568686904</v>
      </c>
      <c r="L37" s="220">
        <f t="shared" si="9"/>
        <v>144.17261281015723</v>
      </c>
      <c r="M37" s="350"/>
      <c r="N37" s="279"/>
      <c r="O37" s="324">
        <v>1</v>
      </c>
      <c r="P37" s="279"/>
      <c r="Q37" s="278"/>
      <c r="R37" s="278"/>
      <c r="S37" s="278"/>
      <c r="T37" s="278"/>
      <c r="U37" s="279"/>
      <c r="V37" s="279"/>
      <c r="W37" s="279"/>
      <c r="X37" s="279"/>
      <c r="Y37" s="279"/>
      <c r="Z37" s="279"/>
      <c r="AA37" s="279"/>
      <c r="AB37" s="279"/>
      <c r="AC37" s="279"/>
      <c r="AD37" s="279"/>
      <c r="AE37" s="279"/>
      <c r="AF37" s="278"/>
    </row>
    <row r="38" spans="1:32" s="102" customFormat="1" ht="15.6" x14ac:dyDescent="0.3">
      <c r="A38" s="278"/>
      <c r="B38" s="291"/>
      <c r="C38" s="217">
        <f t="shared" si="6"/>
        <v>35</v>
      </c>
      <c r="D38" s="163">
        <f t="shared" si="10"/>
        <v>0.79999999999999982</v>
      </c>
      <c r="E38" s="219">
        <f t="shared" si="1"/>
        <v>9599.9999999999982</v>
      </c>
      <c r="F38" s="97">
        <f t="shared" si="2"/>
        <v>0.35</v>
      </c>
      <c r="G38" s="109">
        <f t="shared" si="3"/>
        <v>3359.9999999999991</v>
      </c>
      <c r="H38" s="97">
        <f t="shared" si="8"/>
        <v>2222.7429980832462</v>
      </c>
      <c r="I38" s="109">
        <f t="shared" si="4"/>
        <v>1137.2570019167529</v>
      </c>
      <c r="J38" s="109">
        <f t="shared" si="0"/>
        <v>76.917857256364556</v>
      </c>
      <c r="K38" s="109">
        <f t="shared" si="7"/>
        <v>1747.363314125055</v>
      </c>
      <c r="L38" s="220">
        <f t="shared" si="9"/>
        <v>149.93527999005903</v>
      </c>
      <c r="M38" s="350"/>
      <c r="N38" s="279"/>
      <c r="O38" s="324">
        <v>1</v>
      </c>
      <c r="P38" s="279"/>
      <c r="Q38" s="278"/>
      <c r="R38" s="278"/>
      <c r="S38" s="278"/>
      <c r="T38" s="278"/>
      <c r="U38" s="279"/>
      <c r="V38" s="279"/>
      <c r="W38" s="279"/>
      <c r="X38" s="279"/>
      <c r="Y38" s="279"/>
      <c r="Z38" s="279"/>
      <c r="AA38" s="279"/>
      <c r="AB38" s="279"/>
      <c r="AC38" s="279"/>
      <c r="AD38" s="279"/>
      <c r="AE38" s="279"/>
      <c r="AF38" s="278"/>
    </row>
    <row r="39" spans="1:32" s="102" customFormat="1" ht="15.6" x14ac:dyDescent="0.3">
      <c r="A39" s="278"/>
      <c r="B39" s="291"/>
      <c r="C39" s="217">
        <f t="shared" si="6"/>
        <v>36</v>
      </c>
      <c r="D39" s="163">
        <f t="shared" si="10"/>
        <v>0.7799999999999998</v>
      </c>
      <c r="E39" s="219">
        <f t="shared" si="1"/>
        <v>9359.9999999999982</v>
      </c>
      <c r="F39" s="97">
        <f t="shared" si="2"/>
        <v>0.35</v>
      </c>
      <c r="G39" s="109">
        <f t="shared" si="3"/>
        <v>3275.9999999999991</v>
      </c>
      <c r="H39" s="97">
        <f t="shared" si="8"/>
        <v>2222.7429980832462</v>
      </c>
      <c r="I39" s="109">
        <f t="shared" si="4"/>
        <v>1053.2570019167529</v>
      </c>
      <c r="J39" s="109">
        <f t="shared" si="0"/>
        <v>65.959773768159636</v>
      </c>
      <c r="K39" s="109">
        <f t="shared" si="7"/>
        <v>1813.3230878932147</v>
      </c>
      <c r="L39" s="220">
        <f t="shared" si="9"/>
        <v>154.76281260638933</v>
      </c>
      <c r="M39" s="350"/>
      <c r="N39" s="279"/>
      <c r="O39" s="324">
        <v>1</v>
      </c>
      <c r="P39" s="279"/>
      <c r="Q39" s="278"/>
      <c r="R39" s="278"/>
      <c r="S39" s="278"/>
      <c r="T39" s="278"/>
      <c r="U39" s="279"/>
      <c r="V39" s="279"/>
      <c r="W39" s="279"/>
      <c r="X39" s="279"/>
      <c r="Y39" s="279"/>
      <c r="Z39" s="279"/>
      <c r="AA39" s="279"/>
      <c r="AB39" s="279"/>
      <c r="AC39" s="279"/>
      <c r="AD39" s="279"/>
      <c r="AE39" s="279"/>
      <c r="AF39" s="278"/>
    </row>
    <row r="40" spans="1:32" s="102" customFormat="1" ht="15.6" x14ac:dyDescent="0.3">
      <c r="A40" s="278"/>
      <c r="B40" s="291"/>
      <c r="C40" s="217">
        <f t="shared" si="6"/>
        <v>37</v>
      </c>
      <c r="D40" s="163">
        <f t="shared" si="10"/>
        <v>0.75999999999999979</v>
      </c>
      <c r="E40" s="219">
        <f t="shared" si="1"/>
        <v>9119.9999999999982</v>
      </c>
      <c r="F40" s="97">
        <f t="shared" si="2"/>
        <v>0.35</v>
      </c>
      <c r="G40" s="109">
        <f t="shared" si="3"/>
        <v>3191.9999999999991</v>
      </c>
      <c r="H40" s="97">
        <f t="shared" si="8"/>
        <v>2222.7429980832462</v>
      </c>
      <c r="I40" s="109">
        <f t="shared" si="4"/>
        <v>969.25700191675287</v>
      </c>
      <c r="J40" s="109">
        <f t="shared" si="0"/>
        <v>56.203064199983089</v>
      </c>
      <c r="K40" s="109">
        <f t="shared" si="7"/>
        <v>1869.5261520931979</v>
      </c>
      <c r="L40" s="220">
        <f t="shared" si="9"/>
        <v>158.77331591414782</v>
      </c>
      <c r="M40" s="350"/>
      <c r="N40" s="279"/>
      <c r="O40" s="324">
        <v>1</v>
      </c>
      <c r="P40" s="279"/>
      <c r="Q40" s="278"/>
      <c r="R40" s="278"/>
      <c r="S40" s="278"/>
      <c r="T40" s="278"/>
      <c r="U40" s="279"/>
      <c r="V40" s="279"/>
      <c r="W40" s="279"/>
      <c r="X40" s="279"/>
      <c r="Y40" s="279"/>
      <c r="Z40" s="279"/>
      <c r="AA40" s="279"/>
      <c r="AB40" s="279"/>
      <c r="AC40" s="279"/>
      <c r="AD40" s="279"/>
      <c r="AE40" s="279"/>
      <c r="AF40" s="278"/>
    </row>
    <row r="41" spans="1:32" s="102" customFormat="1" ht="15.6" x14ac:dyDescent="0.3">
      <c r="A41" s="278"/>
      <c r="B41" s="291"/>
      <c r="C41" s="217">
        <f t="shared" si="6"/>
        <v>38</v>
      </c>
      <c r="D41" s="163">
        <f t="shared" si="10"/>
        <v>0.73999999999999977</v>
      </c>
      <c r="E41" s="219">
        <f t="shared" si="1"/>
        <v>8879.9999999999964</v>
      </c>
      <c r="F41" s="97">
        <f t="shared" si="2"/>
        <v>0.35</v>
      </c>
      <c r="G41" s="109">
        <f t="shared" si="3"/>
        <v>3107.9999999999986</v>
      </c>
      <c r="H41" s="97">
        <f t="shared" si="8"/>
        <v>2222.7429980832462</v>
      </c>
      <c r="I41" s="109">
        <f t="shared" si="4"/>
        <v>885.25700191675242</v>
      </c>
      <c r="J41" s="109">
        <f t="shared" si="0"/>
        <v>47.52987388872068</v>
      </c>
      <c r="K41" s="109">
        <f t="shared" si="7"/>
        <v>1917.0560259819185</v>
      </c>
      <c r="L41" s="220">
        <f t="shared" si="9"/>
        <v>162.0704158344312</v>
      </c>
      <c r="M41" s="350"/>
      <c r="N41" s="279"/>
      <c r="O41" s="324">
        <v>1</v>
      </c>
      <c r="P41" s="279"/>
      <c r="Q41" s="278"/>
      <c r="R41" s="278"/>
      <c r="S41" s="278"/>
      <c r="T41" s="278"/>
      <c r="U41" s="279"/>
      <c r="V41" s="279"/>
      <c r="W41" s="279"/>
      <c r="X41" s="279"/>
      <c r="Y41" s="279"/>
      <c r="Z41" s="279"/>
      <c r="AA41" s="279"/>
      <c r="AB41" s="279"/>
      <c r="AC41" s="279"/>
      <c r="AD41" s="279"/>
      <c r="AE41" s="279"/>
      <c r="AF41" s="278"/>
    </row>
    <row r="42" spans="1:32" s="102" customFormat="1" ht="15.6" x14ac:dyDescent="0.3">
      <c r="A42" s="278"/>
      <c r="B42" s="291"/>
      <c r="C42" s="217">
        <f t="shared" si="6"/>
        <v>39</v>
      </c>
      <c r="D42" s="163">
        <f t="shared" si="10"/>
        <v>0.71999999999999975</v>
      </c>
      <c r="E42" s="219">
        <f t="shared" si="1"/>
        <v>8639.9999999999964</v>
      </c>
      <c r="F42" s="97">
        <f t="shared" si="2"/>
        <v>0.35</v>
      </c>
      <c r="G42" s="109">
        <f t="shared" si="3"/>
        <v>3023.9999999999986</v>
      </c>
      <c r="H42" s="97">
        <f t="shared" si="8"/>
        <v>2222.7429980832462</v>
      </c>
      <c r="I42" s="109">
        <f t="shared" si="4"/>
        <v>801.25700191675242</v>
      </c>
      <c r="J42" s="109">
        <f t="shared" si="0"/>
        <v>39.83321622055351</v>
      </c>
      <c r="K42" s="109">
        <f t="shared" si="7"/>
        <v>1956.8892422024721</v>
      </c>
      <c r="L42" s="220">
        <f t="shared" si="9"/>
        <v>164.74515978749747</v>
      </c>
      <c r="M42" s="350"/>
      <c r="N42" s="279"/>
      <c r="O42" s="324">
        <v>1</v>
      </c>
      <c r="P42" s="279"/>
      <c r="Q42" s="278"/>
      <c r="R42" s="278"/>
      <c r="S42" s="278"/>
      <c r="T42" s="278"/>
      <c r="U42" s="279"/>
      <c r="V42" s="279"/>
      <c r="W42" s="279"/>
      <c r="X42" s="279"/>
      <c r="Y42" s="279"/>
      <c r="Z42" s="279"/>
      <c r="AA42" s="279"/>
      <c r="AB42" s="279"/>
      <c r="AC42" s="279"/>
      <c r="AD42" s="279"/>
      <c r="AE42" s="279"/>
      <c r="AF42" s="278"/>
    </row>
    <row r="43" spans="1:32" s="102" customFormat="1" ht="15.6" x14ac:dyDescent="0.3">
      <c r="A43" s="278"/>
      <c r="B43" s="291"/>
      <c r="C43" s="217">
        <f t="shared" si="6"/>
        <v>40</v>
      </c>
      <c r="D43" s="163">
        <f t="shared" si="10"/>
        <v>0.69999999999999973</v>
      </c>
      <c r="E43" s="219">
        <f t="shared" si="1"/>
        <v>8399.9999999999964</v>
      </c>
      <c r="F43" s="97">
        <f t="shared" si="2"/>
        <v>0.35</v>
      </c>
      <c r="G43" s="109">
        <f t="shared" si="3"/>
        <v>2939.9999999999986</v>
      </c>
      <c r="H43" s="97">
        <f t="shared" si="8"/>
        <v>2222.7429980832462</v>
      </c>
      <c r="I43" s="109">
        <f t="shared" si="4"/>
        <v>717.25700191675242</v>
      </c>
      <c r="J43" s="109">
        <f t="shared" si="0"/>
        <v>33.016009214398913</v>
      </c>
      <c r="K43" s="109">
        <f t="shared" si="7"/>
        <v>1989.9052514168711</v>
      </c>
      <c r="L43" s="220">
        <f t="shared" si="9"/>
        <v>166.87763591618227</v>
      </c>
      <c r="M43" s="350"/>
      <c r="N43" s="279"/>
      <c r="O43" s="324">
        <v>1</v>
      </c>
      <c r="P43" s="279"/>
      <c r="Q43" s="278"/>
      <c r="R43" s="278"/>
      <c r="S43" s="278"/>
      <c r="T43" s="278"/>
      <c r="U43" s="279"/>
      <c r="V43" s="279"/>
      <c r="W43" s="279"/>
      <c r="X43" s="279"/>
      <c r="Y43" s="279"/>
      <c r="Z43" s="279"/>
      <c r="AA43" s="279"/>
      <c r="AB43" s="279"/>
      <c r="AC43" s="279"/>
      <c r="AD43" s="279"/>
      <c r="AE43" s="279"/>
      <c r="AF43" s="278"/>
    </row>
    <row r="44" spans="1:32" ht="15.6" x14ac:dyDescent="0.3">
      <c r="B44" s="291"/>
      <c r="C44" s="217">
        <f t="shared" si="6"/>
        <v>41</v>
      </c>
      <c r="D44" s="163">
        <f t="shared" si="10"/>
        <v>0.67999999999999972</v>
      </c>
      <c r="E44" s="219">
        <f t="shared" si="1"/>
        <v>8159.9999999999964</v>
      </c>
      <c r="F44" s="97">
        <f t="shared" si="2"/>
        <v>0.35</v>
      </c>
      <c r="G44" s="109">
        <f t="shared" si="3"/>
        <v>2855.9999999999986</v>
      </c>
      <c r="H44" s="97">
        <f t="shared" si="8"/>
        <v>2222.7429980832462</v>
      </c>
      <c r="I44" s="109">
        <f t="shared" si="4"/>
        <v>633.25700191675242</v>
      </c>
      <c r="J44" s="109">
        <f t="shared" si="0"/>
        <v>26.990195201087236</v>
      </c>
      <c r="K44" s="109">
        <f t="shared" si="7"/>
        <v>2016.8954466179584</v>
      </c>
      <c r="L44" s="220">
        <f t="shared" si="9"/>
        <v>168.53835832698729</v>
      </c>
      <c r="M44" s="350"/>
      <c r="N44" s="279"/>
      <c r="O44" s="324">
        <v>1</v>
      </c>
      <c r="P44" s="279"/>
      <c r="Q44" s="314"/>
      <c r="R44" s="279"/>
      <c r="S44" s="279"/>
      <c r="T44" s="279"/>
      <c r="U44" s="279"/>
      <c r="V44" s="279"/>
      <c r="W44" s="279"/>
      <c r="X44" s="279"/>
      <c r="Y44" s="279"/>
      <c r="Z44" s="279"/>
      <c r="AA44" s="279"/>
      <c r="AB44" s="279"/>
      <c r="AC44" s="279"/>
      <c r="AD44" s="279"/>
      <c r="AE44" s="279"/>
      <c r="AF44" s="278"/>
    </row>
    <row r="45" spans="1:32" ht="15.6" x14ac:dyDescent="0.3">
      <c r="B45" s="291"/>
      <c r="C45" s="217">
        <f t="shared" si="6"/>
        <v>42</v>
      </c>
      <c r="D45" s="163">
        <f t="shared" si="10"/>
        <v>0.6599999999999997</v>
      </c>
      <c r="E45" s="219">
        <f t="shared" si="1"/>
        <v>7919.9999999999964</v>
      </c>
      <c r="F45" s="97">
        <f t="shared" si="2"/>
        <v>0.35</v>
      </c>
      <c r="G45" s="109">
        <f t="shared" si="3"/>
        <v>2771.9999999999986</v>
      </c>
      <c r="H45" s="97">
        <f t="shared" si="8"/>
        <v>2222.7429980832462</v>
      </c>
      <c r="I45" s="109">
        <f t="shared" si="4"/>
        <v>549.25700191675242</v>
      </c>
      <c r="J45" s="109">
        <f t="shared" si="0"/>
        <v>21.675936574030793</v>
      </c>
      <c r="K45" s="109">
        <f t="shared" si="7"/>
        <v>2038.5713831919893</v>
      </c>
      <c r="L45" s="220">
        <f t="shared" si="9"/>
        <v>169.78945691836179</v>
      </c>
      <c r="M45" s="350"/>
      <c r="N45" s="279"/>
      <c r="O45" s="324">
        <v>1</v>
      </c>
      <c r="P45" s="278"/>
      <c r="Q45" s="278"/>
      <c r="R45" s="278"/>
      <c r="S45" s="278"/>
      <c r="T45" s="327"/>
      <c r="U45" s="279"/>
      <c r="V45" s="279"/>
      <c r="W45" s="279"/>
      <c r="X45" s="279"/>
      <c r="Y45" s="279"/>
      <c r="Z45" s="279"/>
      <c r="AA45" s="279"/>
      <c r="AB45" s="279"/>
      <c r="AC45" s="279"/>
      <c r="AD45" s="279"/>
      <c r="AE45" s="279"/>
      <c r="AF45" s="278"/>
    </row>
    <row r="46" spans="1:32" ht="15.6" x14ac:dyDescent="0.3">
      <c r="B46" s="291"/>
      <c r="C46" s="217">
        <f t="shared" si="6"/>
        <v>43</v>
      </c>
      <c r="D46" s="163">
        <f t="shared" si="10"/>
        <v>0.63999999999999968</v>
      </c>
      <c r="E46" s="219">
        <f t="shared" si="1"/>
        <v>7679.9999999999964</v>
      </c>
      <c r="F46" s="97">
        <f t="shared" si="2"/>
        <v>0.35</v>
      </c>
      <c r="G46" s="109">
        <f>E46*F46</f>
        <v>2687.9999999999986</v>
      </c>
      <c r="H46" s="97">
        <f t="shared" si="8"/>
        <v>2222.7429980832462</v>
      </c>
      <c r="I46" s="109">
        <f t="shared" si="4"/>
        <v>465.25700191675242</v>
      </c>
      <c r="J46" s="109">
        <f t="shared" si="0"/>
        <v>17.000881171827224</v>
      </c>
      <c r="K46" s="109">
        <f t="shared" si="7"/>
        <v>2055.5722643638164</v>
      </c>
      <c r="L46" s="220">
        <f t="shared" si="9"/>
        <v>170.68570320609746</v>
      </c>
      <c r="M46" s="350"/>
      <c r="N46" s="279"/>
      <c r="O46" s="324">
        <v>1</v>
      </c>
      <c r="P46" s="279"/>
      <c r="Q46" s="314"/>
      <c r="R46" s="279"/>
      <c r="S46" s="279"/>
      <c r="T46" s="279"/>
      <c r="U46" s="279"/>
      <c r="V46" s="279"/>
      <c r="W46" s="279"/>
      <c r="X46" s="279"/>
      <c r="Y46" s="279"/>
      <c r="Z46" s="279"/>
      <c r="AA46" s="279"/>
      <c r="AB46" s="279"/>
      <c r="AC46" s="279"/>
      <c r="AD46" s="279"/>
      <c r="AE46" s="279"/>
      <c r="AF46" s="278"/>
    </row>
    <row r="47" spans="1:32" ht="15.6" x14ac:dyDescent="0.3">
      <c r="B47" s="291"/>
      <c r="C47" s="217">
        <f t="shared" si="6"/>
        <v>44</v>
      </c>
      <c r="D47" s="163">
        <f t="shared" si="10"/>
        <v>0.61999999999999966</v>
      </c>
      <c r="E47" s="219">
        <f t="shared" si="1"/>
        <v>7439.9999999999964</v>
      </c>
      <c r="F47" s="97">
        <f t="shared" si="2"/>
        <v>0.35</v>
      </c>
      <c r="G47" s="109">
        <f t="shared" si="3"/>
        <v>2603.9999999999986</v>
      </c>
      <c r="H47" s="97">
        <f t="shared" si="8"/>
        <v>2222.7429980832462</v>
      </c>
      <c r="I47" s="109">
        <f t="shared" si="4"/>
        <v>381.25700191675242</v>
      </c>
      <c r="J47" s="109">
        <f>I47/(1+$U$4)^C47</f>
        <v>12.899491389845684</v>
      </c>
      <c r="K47" s="109">
        <f t="shared" si="7"/>
        <v>2068.4717557536619</v>
      </c>
      <c r="L47" s="220">
        <f t="shared" si="9"/>
        <v>171.27539786256781</v>
      </c>
      <c r="M47" s="350"/>
      <c r="N47" s="279"/>
      <c r="O47" s="324">
        <v>1</v>
      </c>
      <c r="P47" s="279"/>
      <c r="Q47" s="314"/>
      <c r="R47" s="279"/>
      <c r="S47" s="279"/>
      <c r="T47" s="279"/>
      <c r="U47" s="279"/>
      <c r="V47" s="279"/>
      <c r="W47" s="279"/>
      <c r="X47" s="279"/>
      <c r="Y47" s="279"/>
      <c r="Z47" s="279"/>
      <c r="AA47" s="279"/>
      <c r="AB47" s="279"/>
      <c r="AC47" s="279"/>
      <c r="AD47" s="279"/>
      <c r="AE47" s="279"/>
      <c r="AF47" s="278"/>
    </row>
    <row r="48" spans="1:32" ht="15.6" x14ac:dyDescent="0.3">
      <c r="B48" s="291"/>
      <c r="C48" s="217">
        <f t="shared" si="6"/>
        <v>45</v>
      </c>
      <c r="D48" s="163">
        <f t="shared" si="10"/>
        <v>0.59999999999999964</v>
      </c>
      <c r="E48" s="219">
        <f t="shared" si="1"/>
        <v>7199.9999999999955</v>
      </c>
      <c r="F48" s="97">
        <f t="shared" si="2"/>
        <v>0.35</v>
      </c>
      <c r="G48" s="109">
        <f t="shared" si="3"/>
        <v>2519.9999999999982</v>
      </c>
      <c r="H48" s="97">
        <f t="shared" si="8"/>
        <v>2222.7429980832462</v>
      </c>
      <c r="I48" s="109">
        <f t="shared" si="4"/>
        <v>297.25700191675196</v>
      </c>
      <c r="J48" s="109">
        <f t="shared" si="0"/>
        <v>9.3124316102875895</v>
      </c>
      <c r="K48" s="109">
        <f t="shared" si="7"/>
        <v>2077.7841873639495</v>
      </c>
      <c r="L48" s="220">
        <f>-PMT($U$4,C48,K48,1)</f>
        <v>171.60114113354038</v>
      </c>
      <c r="M48" s="350"/>
      <c r="N48" s="279"/>
      <c r="O48" s="324">
        <v>1</v>
      </c>
      <c r="P48" s="279"/>
      <c r="Q48" s="314"/>
      <c r="R48" s="279"/>
      <c r="S48" s="279"/>
      <c r="T48" s="279"/>
      <c r="U48" s="279"/>
      <c r="V48" s="279"/>
      <c r="W48" s="279"/>
      <c r="X48" s="279"/>
      <c r="Y48" s="279"/>
      <c r="Z48" s="279"/>
      <c r="AA48" s="279"/>
      <c r="AB48" s="279"/>
      <c r="AC48" s="279"/>
      <c r="AD48" s="279"/>
      <c r="AE48" s="279"/>
      <c r="AF48" s="278"/>
    </row>
    <row r="49" spans="1:32" ht="15.6" x14ac:dyDescent="0.3">
      <c r="B49" s="291"/>
      <c r="C49" s="217">
        <f t="shared" si="6"/>
        <v>46</v>
      </c>
      <c r="D49" s="163">
        <f t="shared" si="10"/>
        <v>0.57999999999999963</v>
      </c>
      <c r="E49" s="219">
        <f t="shared" si="1"/>
        <v>6959.9999999999955</v>
      </c>
      <c r="F49" s="97">
        <f t="shared" si="2"/>
        <v>0.35</v>
      </c>
      <c r="G49" s="109">
        <f t="shared" si="3"/>
        <v>2435.9999999999982</v>
      </c>
      <c r="H49" s="97">
        <f t="shared" si="8"/>
        <v>2222.7429980832462</v>
      </c>
      <c r="I49" s="109">
        <f t="shared" si="4"/>
        <v>213.25700191675196</v>
      </c>
      <c r="J49" s="109">
        <f t="shared" si="0"/>
        <v>6.1860089920914954</v>
      </c>
      <c r="K49" s="109">
        <f t="shared" si="7"/>
        <v>2083.970196356041</v>
      </c>
      <c r="L49" s="220">
        <f>-PMT($U$4,C49,K49,1)</f>
        <v>171.70050363527037</v>
      </c>
      <c r="M49" s="350"/>
      <c r="N49" s="279"/>
      <c r="O49" s="324">
        <v>1</v>
      </c>
      <c r="P49" s="279"/>
      <c r="Q49" s="314"/>
      <c r="R49" s="279"/>
      <c r="S49" s="279"/>
      <c r="T49" s="279"/>
      <c r="U49" s="279"/>
      <c r="V49" s="279"/>
      <c r="W49" s="279"/>
      <c r="X49" s="279"/>
      <c r="Y49" s="279"/>
      <c r="Z49" s="279"/>
      <c r="AA49" s="279"/>
      <c r="AB49" s="279"/>
      <c r="AC49" s="279"/>
      <c r="AD49" s="279"/>
      <c r="AE49" s="279"/>
      <c r="AF49" s="278"/>
    </row>
    <row r="50" spans="1:32" ht="15.6" x14ac:dyDescent="0.3">
      <c r="B50" s="291"/>
      <c r="C50" s="217">
        <f t="shared" si="6"/>
        <v>47</v>
      </c>
      <c r="D50" s="163">
        <f t="shared" si="10"/>
        <v>0.55999999999999961</v>
      </c>
      <c r="E50" s="219">
        <f t="shared" si="1"/>
        <v>6719.9999999999955</v>
      </c>
      <c r="F50" s="97">
        <f t="shared" si="2"/>
        <v>0.35</v>
      </c>
      <c r="G50" s="109">
        <f t="shared" si="3"/>
        <v>2351.9999999999982</v>
      </c>
      <c r="H50" s="97">
        <f t="shared" si="8"/>
        <v>2222.7429980832462</v>
      </c>
      <c r="I50" s="109">
        <f t="shared" si="4"/>
        <v>129.25700191675196</v>
      </c>
      <c r="J50" s="109">
        <f t="shared" si="0"/>
        <v>3.4716630766718475</v>
      </c>
      <c r="K50" s="109">
        <f t="shared" si="7"/>
        <v>2087.441859432713</v>
      </c>
      <c r="L50" s="220">
        <f>-PMT($U$4,C50,K50,1)</f>
        <v>171.60661207546329</v>
      </c>
      <c r="M50" s="350"/>
      <c r="N50" s="279"/>
      <c r="O50" s="324">
        <v>1</v>
      </c>
      <c r="P50" s="279"/>
      <c r="Q50" s="279"/>
      <c r="R50" s="279"/>
      <c r="S50" s="279"/>
      <c r="T50" s="279"/>
      <c r="U50" s="279"/>
      <c r="V50" s="279"/>
      <c r="W50" s="279"/>
      <c r="X50" s="279"/>
      <c r="Y50" s="279"/>
      <c r="Z50" s="279"/>
      <c r="AA50" s="279"/>
      <c r="AB50" s="279"/>
      <c r="AC50" s="279"/>
      <c r="AD50" s="279"/>
      <c r="AE50" s="279"/>
      <c r="AF50" s="278"/>
    </row>
    <row r="51" spans="1:32" ht="15.6" x14ac:dyDescent="0.3">
      <c r="B51" s="291"/>
      <c r="C51" s="217">
        <f t="shared" si="6"/>
        <v>48</v>
      </c>
      <c r="D51" s="163">
        <f t="shared" si="10"/>
        <v>0.53999999999999959</v>
      </c>
      <c r="E51" s="219">
        <f t="shared" si="1"/>
        <v>6479.9999999999955</v>
      </c>
      <c r="F51" s="97">
        <f t="shared" si="2"/>
        <v>0.35</v>
      </c>
      <c r="G51" s="109">
        <f t="shared" si="3"/>
        <v>2267.9999999999982</v>
      </c>
      <c r="H51" s="97">
        <f t="shared" si="8"/>
        <v>2222.7429980832462</v>
      </c>
      <c r="I51" s="109">
        <f t="shared" si="4"/>
        <v>45.25700191675196</v>
      </c>
      <c r="J51" s="109">
        <f t="shared" si="0"/>
        <v>1.125500045884513</v>
      </c>
      <c r="K51" s="109">
        <f t="shared" si="7"/>
        <v>2088.5673594785976</v>
      </c>
      <c r="L51" s="220">
        <f t="shared" ref="L51:L61" si="11">-PMT($U$4,C51,K51,1)</f>
        <v>171.34866203795738</v>
      </c>
      <c r="M51" s="350"/>
      <c r="N51" s="279"/>
      <c r="O51" s="324">
        <v>1</v>
      </c>
      <c r="P51" s="279"/>
      <c r="Q51" s="279"/>
      <c r="R51" s="279"/>
      <c r="S51" s="279"/>
      <c r="T51" s="279"/>
      <c r="U51" s="279"/>
      <c r="V51" s="279"/>
      <c r="W51" s="279"/>
      <c r="X51" s="279"/>
      <c r="Y51" s="279"/>
      <c r="Z51" s="279"/>
      <c r="AA51" s="279"/>
      <c r="AB51" s="279"/>
      <c r="AC51" s="279"/>
      <c r="AD51" s="279"/>
      <c r="AE51" s="279"/>
      <c r="AF51" s="278"/>
    </row>
    <row r="52" spans="1:32" ht="15.6" x14ac:dyDescent="0.3">
      <c r="B52" s="291"/>
      <c r="C52" s="217">
        <f t="shared" si="6"/>
        <v>49</v>
      </c>
      <c r="D52" s="163">
        <f t="shared" si="10"/>
        <v>0.51999999999999957</v>
      </c>
      <c r="E52" s="219">
        <f t="shared" si="1"/>
        <v>6239.9999999999945</v>
      </c>
      <c r="F52" s="97">
        <f t="shared" si="2"/>
        <v>0.35</v>
      </c>
      <c r="G52" s="109">
        <f t="shared" si="3"/>
        <v>2183.9999999999977</v>
      </c>
      <c r="H52" s="97">
        <f t="shared" si="8"/>
        <v>2158.9740163311108</v>
      </c>
      <c r="I52" s="109">
        <f t="shared" si="4"/>
        <v>25.025983668886965</v>
      </c>
      <c r="J52" s="109">
        <f t="shared" ref="J52:J61" si="12">I52/(1+$U$4)^C52</f>
        <v>0.57627149503171338</v>
      </c>
      <c r="K52" s="109">
        <f t="shared" ref="K52:K61" si="13">J52+K51</f>
        <v>2089.1436309736291</v>
      </c>
      <c r="L52" s="220">
        <f t="shared" si="11"/>
        <v>171.07260908570831</v>
      </c>
      <c r="M52" s="350"/>
      <c r="N52" s="279"/>
      <c r="O52" s="324">
        <v>0.97131068152857725</v>
      </c>
      <c r="P52" s="279"/>
      <c r="Q52" s="279"/>
      <c r="R52" s="279"/>
      <c r="S52" s="279"/>
      <c r="T52" s="279"/>
      <c r="U52" s="279"/>
      <c r="V52" s="279"/>
      <c r="W52" s="279"/>
      <c r="X52" s="279"/>
      <c r="Y52" s="279"/>
      <c r="Z52" s="279"/>
      <c r="AA52" s="279"/>
      <c r="AB52" s="279"/>
      <c r="AC52" s="279"/>
      <c r="AD52" s="279"/>
      <c r="AE52" s="279"/>
      <c r="AF52" s="278"/>
    </row>
    <row r="53" spans="1:32" ht="15.6" x14ac:dyDescent="0.3">
      <c r="B53" s="291"/>
      <c r="C53" s="217">
        <f t="shared" si="6"/>
        <v>50</v>
      </c>
      <c r="D53" s="163">
        <f t="shared" si="10"/>
        <v>0.49999999999999956</v>
      </c>
      <c r="E53" s="219">
        <f t="shared" si="1"/>
        <v>5999.9999999999945</v>
      </c>
      <c r="F53" s="97">
        <f t="shared" si="2"/>
        <v>0.35</v>
      </c>
      <c r="G53" s="109">
        <f t="shared" si="3"/>
        <v>2099.9999999999982</v>
      </c>
      <c r="H53" s="97">
        <f t="shared" si="8"/>
        <v>2132.6310397315488</v>
      </c>
      <c r="I53" s="109">
        <f t="shared" si="4"/>
        <v>-32.631039731550572</v>
      </c>
      <c r="J53" s="109">
        <f t="shared" si="12"/>
        <v>-0.69573385610878735</v>
      </c>
      <c r="K53" s="109">
        <f t="shared" si="13"/>
        <v>2088.4478971175204</v>
      </c>
      <c r="L53" s="220">
        <f t="shared" si="11"/>
        <v>170.71744309016336</v>
      </c>
      <c r="M53" s="350"/>
      <c r="N53" s="279"/>
      <c r="O53" s="324">
        <v>0.95945911946212215</v>
      </c>
      <c r="P53" s="279"/>
      <c r="Q53" s="279"/>
      <c r="R53" s="279"/>
      <c r="S53" s="279"/>
      <c r="T53" s="279"/>
      <c r="U53" s="279"/>
      <c r="V53" s="279"/>
      <c r="W53" s="279"/>
      <c r="X53" s="279"/>
      <c r="Y53" s="279"/>
      <c r="Z53" s="279"/>
      <c r="AA53" s="279"/>
      <c r="AB53" s="279"/>
      <c r="AC53" s="279"/>
      <c r="AD53" s="279"/>
      <c r="AE53" s="279"/>
      <c r="AF53" s="278"/>
    </row>
    <row r="54" spans="1:32" ht="16.2" thickBot="1" x14ac:dyDescent="0.35">
      <c r="B54" s="291"/>
      <c r="C54" s="224">
        <f t="shared" si="6"/>
        <v>51</v>
      </c>
      <c r="D54" s="163">
        <f t="shared" si="10"/>
        <v>0.47999999999999954</v>
      </c>
      <c r="E54" s="226">
        <f t="shared" si="1"/>
        <v>5759.9999999999945</v>
      </c>
      <c r="F54" s="227">
        <f t="shared" si="2"/>
        <v>0.35</v>
      </c>
      <c r="G54" s="228">
        <f t="shared" si="3"/>
        <v>2015.999999999998</v>
      </c>
      <c r="H54" s="97">
        <f t="shared" si="8"/>
        <v>2106.2880631319877</v>
      </c>
      <c r="I54" s="228">
        <f t="shared" si="4"/>
        <v>-90.288063131989702</v>
      </c>
      <c r="J54" s="228">
        <f t="shared" si="12"/>
        <v>-1.7824559535551527</v>
      </c>
      <c r="K54" s="228">
        <f t="shared" si="13"/>
        <v>2086.6654411639652</v>
      </c>
      <c r="L54" s="274">
        <f>-PMT($U$4,C54,K54,1)</f>
        <v>170.29679320838636</v>
      </c>
      <c r="M54" s="350"/>
      <c r="N54" s="279"/>
      <c r="O54" s="324">
        <v>0.94760755739566749</v>
      </c>
      <c r="P54" s="279"/>
      <c r="Q54" s="279"/>
      <c r="R54" s="279"/>
      <c r="S54" s="279"/>
      <c r="T54" s="279"/>
      <c r="U54" s="279"/>
      <c r="V54" s="279"/>
      <c r="W54" s="279"/>
      <c r="X54" s="279"/>
      <c r="Y54" s="279"/>
      <c r="Z54" s="279"/>
      <c r="AA54" s="279"/>
      <c r="AB54" s="279"/>
      <c r="AC54" s="279"/>
      <c r="AD54" s="279"/>
      <c r="AE54" s="279"/>
      <c r="AF54" s="278"/>
    </row>
    <row r="55" spans="1:32" ht="15.6" hidden="1" x14ac:dyDescent="0.3">
      <c r="B55" s="291"/>
      <c r="C55" s="96">
        <f t="shared" si="6"/>
        <v>52</v>
      </c>
      <c r="D55" s="162">
        <v>0.8</v>
      </c>
      <c r="E55" s="98">
        <f t="shared" si="1"/>
        <v>9600</v>
      </c>
      <c r="F55" s="107">
        <f t="shared" si="2"/>
        <v>0.35</v>
      </c>
      <c r="G55" s="108">
        <f t="shared" si="3"/>
        <v>3360</v>
      </c>
      <c r="H55" s="108">
        <f t="shared" ref="H55:H61" si="14">$U$6*O55+$U$7+$U$8</f>
        <v>2029.3643572500039</v>
      </c>
      <c r="I55" s="108">
        <f t="shared" si="4"/>
        <v>1330.6356427499961</v>
      </c>
      <c r="J55" s="108">
        <f t="shared" si="12"/>
        <v>24.323376768441737</v>
      </c>
      <c r="K55" s="108">
        <f t="shared" si="13"/>
        <v>2110.9888179324071</v>
      </c>
      <c r="L55" s="164">
        <f t="shared" si="11"/>
        <v>172.02510359059738</v>
      </c>
      <c r="M55" s="350"/>
      <c r="N55" s="279"/>
      <c r="O55" s="324">
        <v>0.91300000000000003</v>
      </c>
      <c r="P55" s="279"/>
      <c r="Q55" s="279"/>
      <c r="R55" s="279"/>
      <c r="S55" s="279"/>
      <c r="T55" s="279"/>
      <c r="U55" s="279"/>
      <c r="V55" s="279"/>
      <c r="W55" s="279"/>
      <c r="X55" s="279"/>
      <c r="Y55" s="279"/>
      <c r="Z55" s="279"/>
      <c r="AA55" s="279"/>
      <c r="AB55" s="279"/>
      <c r="AC55" s="279"/>
      <c r="AD55" s="279"/>
      <c r="AE55" s="279"/>
      <c r="AF55" s="278"/>
    </row>
    <row r="56" spans="1:32" s="102" customFormat="1" ht="15.6" hidden="1" x14ac:dyDescent="0.3">
      <c r="A56" s="278"/>
      <c r="B56" s="291"/>
      <c r="C56" s="104">
        <f t="shared" si="6"/>
        <v>53</v>
      </c>
      <c r="D56" s="163">
        <v>0.75</v>
      </c>
      <c r="E56" s="98">
        <f t="shared" si="1"/>
        <v>9000</v>
      </c>
      <c r="F56" s="107">
        <f t="shared" si="2"/>
        <v>0.35</v>
      </c>
      <c r="G56" s="108">
        <f t="shared" si="3"/>
        <v>3150</v>
      </c>
      <c r="H56" s="108">
        <f t="shared" si="14"/>
        <v>1980.4640112921725</v>
      </c>
      <c r="I56" s="108">
        <f t="shared" si="4"/>
        <v>1169.5359887078275</v>
      </c>
      <c r="J56" s="108">
        <f t="shared" si="12"/>
        <v>19.794956401717773</v>
      </c>
      <c r="K56" s="108">
        <f t="shared" si="13"/>
        <v>2130.7837743341247</v>
      </c>
      <c r="L56" s="164">
        <f t="shared" si="11"/>
        <v>173.39891562860183</v>
      </c>
      <c r="M56" s="350"/>
      <c r="N56" s="279"/>
      <c r="O56" s="324">
        <v>0.89100000000000001</v>
      </c>
      <c r="P56" s="279"/>
      <c r="Q56" s="279"/>
      <c r="R56" s="279"/>
      <c r="S56" s="279"/>
      <c r="T56" s="279"/>
      <c r="U56" s="279"/>
      <c r="V56" s="279"/>
      <c r="W56" s="279"/>
      <c r="X56" s="279"/>
      <c r="Y56" s="279"/>
      <c r="Z56" s="279"/>
      <c r="AA56" s="279"/>
      <c r="AB56" s="279"/>
      <c r="AC56" s="279"/>
      <c r="AD56" s="279"/>
      <c r="AE56" s="279"/>
      <c r="AF56" s="278"/>
    </row>
    <row r="57" spans="1:32" s="102" customFormat="1" ht="15.6" hidden="1" x14ac:dyDescent="0.3">
      <c r="A57" s="278"/>
      <c r="B57" s="291"/>
      <c r="C57" s="96">
        <f t="shared" si="6"/>
        <v>54</v>
      </c>
      <c r="D57" s="162">
        <v>0.7</v>
      </c>
      <c r="E57" s="98">
        <f t="shared" si="1"/>
        <v>8400</v>
      </c>
      <c r="F57" s="107">
        <f t="shared" si="2"/>
        <v>0.35</v>
      </c>
      <c r="G57" s="108">
        <f t="shared" si="3"/>
        <v>2940</v>
      </c>
      <c r="H57" s="108">
        <f t="shared" si="14"/>
        <v>1931.5636653343411</v>
      </c>
      <c r="I57" s="108">
        <f t="shared" si="4"/>
        <v>1008.4363346656589</v>
      </c>
      <c r="J57" s="108">
        <f t="shared" si="12"/>
        <v>15.803951525436084</v>
      </c>
      <c r="K57" s="108">
        <f t="shared" si="13"/>
        <v>2146.5877258595606</v>
      </c>
      <c r="L57" s="164">
        <f>-PMT($U$4,C57,K57,1)</f>
        <v>174.46240110825303</v>
      </c>
      <c r="M57" s="350"/>
      <c r="N57" s="279"/>
      <c r="O57" s="324">
        <v>0.86899999999999999</v>
      </c>
      <c r="P57" s="279"/>
      <c r="Q57" s="279"/>
      <c r="R57" s="279"/>
      <c r="S57" s="279"/>
      <c r="T57" s="279"/>
      <c r="U57" s="279"/>
      <c r="V57" s="279"/>
      <c r="W57" s="279"/>
      <c r="X57" s="279"/>
      <c r="Y57" s="279"/>
      <c r="Z57" s="279"/>
      <c r="AA57" s="279"/>
      <c r="AB57" s="279"/>
      <c r="AC57" s="279"/>
      <c r="AD57" s="279"/>
      <c r="AE57" s="279"/>
      <c r="AF57" s="278"/>
    </row>
    <row r="58" spans="1:32" s="102" customFormat="1" ht="15.6" hidden="1" x14ac:dyDescent="0.3">
      <c r="A58" s="278"/>
      <c r="B58" s="291"/>
      <c r="C58" s="104">
        <f t="shared" si="6"/>
        <v>55</v>
      </c>
      <c r="D58" s="163">
        <v>0.65</v>
      </c>
      <c r="E58" s="98">
        <f t="shared" si="1"/>
        <v>7800</v>
      </c>
      <c r="F58" s="107">
        <f t="shared" si="2"/>
        <v>0.35</v>
      </c>
      <c r="G58" s="108">
        <f t="shared" si="3"/>
        <v>2730</v>
      </c>
      <c r="H58" s="108">
        <f t="shared" si="14"/>
        <v>1882.6633193765094</v>
      </c>
      <c r="I58" s="108">
        <f t="shared" si="4"/>
        <v>847.33668062349057</v>
      </c>
      <c r="J58" s="108">
        <f t="shared" si="12"/>
        <v>12.295592329581769</v>
      </c>
      <c r="K58" s="108">
        <f t="shared" si="13"/>
        <v>2158.8833181891423</v>
      </c>
      <c r="L58" s="164">
        <f t="shared" si="11"/>
        <v>175.25492778015564</v>
      </c>
      <c r="M58" s="350"/>
      <c r="N58" s="279"/>
      <c r="O58" s="324">
        <v>0.84699999999999998</v>
      </c>
      <c r="P58" s="279"/>
      <c r="Q58" s="279"/>
      <c r="R58" s="279"/>
      <c r="S58" s="279"/>
      <c r="T58" s="279"/>
      <c r="U58" s="279"/>
      <c r="V58" s="279"/>
      <c r="W58" s="279"/>
      <c r="X58" s="279"/>
      <c r="Y58" s="279"/>
      <c r="Z58" s="279"/>
      <c r="AA58" s="279"/>
      <c r="AB58" s="279"/>
      <c r="AC58" s="279"/>
      <c r="AD58" s="279"/>
      <c r="AE58" s="279"/>
      <c r="AF58" s="278"/>
    </row>
    <row r="59" spans="1:32" s="102" customFormat="1" ht="15.6" hidden="1" x14ac:dyDescent="0.3">
      <c r="A59" s="278"/>
      <c r="B59" s="291"/>
      <c r="C59" s="96">
        <f t="shared" si="6"/>
        <v>56</v>
      </c>
      <c r="D59" s="162">
        <v>0.6</v>
      </c>
      <c r="E59" s="98">
        <f t="shared" si="1"/>
        <v>7200</v>
      </c>
      <c r="F59" s="107">
        <f t="shared" si="2"/>
        <v>0.35</v>
      </c>
      <c r="G59" s="108">
        <f t="shared" si="3"/>
        <v>2520</v>
      </c>
      <c r="H59" s="108">
        <f t="shared" si="14"/>
        <v>1833.762973418678</v>
      </c>
      <c r="I59" s="108">
        <f t="shared" si="4"/>
        <v>686.23702658132197</v>
      </c>
      <c r="J59" s="108">
        <f t="shared" si="12"/>
        <v>9.2202742682274828</v>
      </c>
      <c r="K59" s="108">
        <f t="shared" si="13"/>
        <v>2168.1035924573698</v>
      </c>
      <c r="L59" s="164">
        <f t="shared" si="11"/>
        <v>175.81156481568723</v>
      </c>
      <c r="M59" s="350"/>
      <c r="N59" s="279"/>
      <c r="O59" s="324">
        <v>0.82499999999999996</v>
      </c>
      <c r="P59" s="279"/>
      <c r="Q59" s="279"/>
      <c r="R59" s="279"/>
      <c r="S59" s="279"/>
      <c r="T59" s="279"/>
      <c r="U59" s="279"/>
      <c r="V59" s="279"/>
      <c r="W59" s="279"/>
      <c r="X59" s="279"/>
      <c r="Y59" s="279"/>
      <c r="Z59" s="279"/>
      <c r="AA59" s="279"/>
      <c r="AB59" s="279"/>
      <c r="AC59" s="279"/>
      <c r="AD59" s="279"/>
      <c r="AE59" s="279"/>
      <c r="AF59" s="278"/>
    </row>
    <row r="60" spans="1:32" s="102" customFormat="1" ht="15.6" hidden="1" x14ac:dyDescent="0.3">
      <c r="A60" s="278"/>
      <c r="B60" s="291"/>
      <c r="C60" s="104">
        <f t="shared" si="6"/>
        <v>57</v>
      </c>
      <c r="D60" s="163">
        <v>0.55000000000000104</v>
      </c>
      <c r="E60" s="98">
        <f t="shared" si="1"/>
        <v>6600.0000000000127</v>
      </c>
      <c r="F60" s="107">
        <f t="shared" si="2"/>
        <v>0.35</v>
      </c>
      <c r="G60" s="108">
        <f t="shared" si="3"/>
        <v>2310.0000000000041</v>
      </c>
      <c r="H60" s="108">
        <f t="shared" si="14"/>
        <v>1784.8626274608469</v>
      </c>
      <c r="I60" s="108">
        <f t="shared" si="4"/>
        <v>525.13737253915724</v>
      </c>
      <c r="J60" s="108">
        <f t="shared" si="12"/>
        <v>6.5330933554437998</v>
      </c>
      <c r="K60" s="108">
        <f t="shared" si="13"/>
        <v>2174.6366858128135</v>
      </c>
      <c r="L60" s="164">
        <f t="shared" si="11"/>
        <v>176.16353344493899</v>
      </c>
      <c r="M60" s="350"/>
      <c r="N60" s="279"/>
      <c r="O60" s="324">
        <v>0.80300000000000005</v>
      </c>
      <c r="P60" s="279"/>
      <c r="Q60" s="279"/>
      <c r="R60" s="279"/>
      <c r="S60" s="279"/>
      <c r="T60" s="279"/>
      <c r="U60" s="279"/>
      <c r="V60" s="279"/>
      <c r="W60" s="279"/>
      <c r="X60" s="279"/>
      <c r="Y60" s="279"/>
      <c r="Z60" s="279"/>
      <c r="AA60" s="279"/>
      <c r="AB60" s="279"/>
      <c r="AC60" s="279"/>
      <c r="AD60" s="279"/>
      <c r="AE60" s="279"/>
      <c r="AF60" s="278"/>
    </row>
    <row r="61" spans="1:32" s="102" customFormat="1" ht="15.6" hidden="1" x14ac:dyDescent="0.3">
      <c r="A61" s="278"/>
      <c r="B61" s="291"/>
      <c r="C61" s="96">
        <f t="shared" si="6"/>
        <v>58</v>
      </c>
      <c r="D61" s="162">
        <v>0.500000000000001</v>
      </c>
      <c r="E61" s="98">
        <f t="shared" si="1"/>
        <v>6000.0000000000118</v>
      </c>
      <c r="F61" s="107">
        <f t="shared" si="2"/>
        <v>0.35</v>
      </c>
      <c r="G61" s="108">
        <f t="shared" si="3"/>
        <v>2100.0000000000041</v>
      </c>
      <c r="H61" s="108">
        <f t="shared" si="14"/>
        <v>1735.9622815030154</v>
      </c>
      <c r="I61" s="108">
        <f t="shared" si="4"/>
        <v>364.03771849698865</v>
      </c>
      <c r="J61" s="108">
        <f t="shared" si="12"/>
        <v>4.1934219646185475</v>
      </c>
      <c r="K61" s="108">
        <f t="shared" si="13"/>
        <v>2178.8301077774322</v>
      </c>
      <c r="L61" s="164">
        <f t="shared" si="11"/>
        <v>176.33860922477234</v>
      </c>
      <c r="M61" s="350"/>
      <c r="N61" s="279"/>
      <c r="O61" s="324">
        <v>0.78100000000000003</v>
      </c>
      <c r="P61" s="279"/>
      <c r="Q61" s="279"/>
      <c r="R61" s="279"/>
      <c r="S61" s="279"/>
      <c r="T61" s="279"/>
      <c r="U61" s="279"/>
      <c r="V61" s="279"/>
      <c r="W61" s="279"/>
      <c r="X61" s="279"/>
      <c r="Y61" s="279"/>
      <c r="Z61" s="279"/>
      <c r="AA61" s="279"/>
      <c r="AB61" s="279"/>
      <c r="AC61" s="279"/>
      <c r="AD61" s="279"/>
      <c r="AE61" s="279"/>
      <c r="AF61" s="278"/>
    </row>
    <row r="62" spans="1:32" s="278" customFormat="1" ht="15.6" x14ac:dyDescent="0.3">
      <c r="B62" s="279"/>
      <c r="C62" s="279"/>
      <c r="D62" s="279"/>
      <c r="E62" s="291"/>
      <c r="F62" s="320"/>
      <c r="G62" s="321"/>
      <c r="H62" s="321"/>
      <c r="I62" s="321"/>
      <c r="J62" s="321"/>
      <c r="K62" s="321"/>
      <c r="L62" s="279"/>
      <c r="M62" s="350"/>
      <c r="N62" s="279"/>
      <c r="O62" s="279"/>
      <c r="P62" s="279"/>
      <c r="Q62" s="279"/>
      <c r="R62" s="279"/>
      <c r="S62" s="279"/>
      <c r="T62" s="279"/>
      <c r="U62" s="279"/>
      <c r="V62" s="279"/>
      <c r="W62" s="279"/>
      <c r="X62" s="279"/>
      <c r="Y62" s="279"/>
      <c r="Z62" s="279"/>
      <c r="AA62" s="279"/>
      <c r="AB62" s="279"/>
      <c r="AC62" s="279"/>
      <c r="AD62" s="279"/>
      <c r="AE62" s="279"/>
    </row>
    <row r="63" spans="1:32" s="278" customFormat="1" ht="15.6" x14ac:dyDescent="0.3">
      <c r="B63" s="279"/>
      <c r="C63" s="279"/>
      <c r="D63" s="279"/>
      <c r="E63" s="322"/>
      <c r="F63" s="320"/>
      <c r="G63" s="321"/>
      <c r="H63" s="321"/>
      <c r="I63" s="321"/>
      <c r="J63" s="321"/>
      <c r="K63" s="321"/>
      <c r="L63" s="279"/>
      <c r="M63" s="350"/>
      <c r="N63" s="279"/>
      <c r="O63" s="279"/>
      <c r="P63" s="279"/>
      <c r="Q63" s="279"/>
      <c r="R63" s="279"/>
      <c r="S63" s="279"/>
      <c r="T63" s="279"/>
      <c r="U63" s="279"/>
      <c r="V63" s="279"/>
      <c r="W63" s="279"/>
      <c r="X63" s="279"/>
      <c r="Y63" s="279"/>
      <c r="Z63" s="279"/>
      <c r="AA63" s="279"/>
      <c r="AB63" s="279"/>
      <c r="AC63" s="279"/>
      <c r="AD63" s="279"/>
      <c r="AE63" s="279"/>
    </row>
    <row r="64" spans="1:32" s="278" customFormat="1" ht="15.6" x14ac:dyDescent="0.3">
      <c r="B64" s="279"/>
      <c r="C64" s="279"/>
      <c r="D64" s="279"/>
      <c r="E64" s="279"/>
      <c r="F64" s="279"/>
      <c r="G64" s="279"/>
      <c r="H64" s="279"/>
      <c r="I64" s="279"/>
      <c r="J64" s="279"/>
      <c r="K64" s="279"/>
      <c r="L64" s="279"/>
      <c r="M64" s="350"/>
      <c r="N64" s="279"/>
      <c r="O64" s="279"/>
      <c r="P64" s="279"/>
      <c r="Q64" s="279"/>
      <c r="R64" s="279"/>
      <c r="S64" s="279"/>
      <c r="T64" s="279"/>
      <c r="U64" s="279"/>
      <c r="V64" s="279"/>
      <c r="W64" s="279"/>
      <c r="X64" s="279"/>
      <c r="Y64" s="279"/>
      <c r="Z64" s="279"/>
      <c r="AA64" s="279"/>
      <c r="AB64" s="279"/>
      <c r="AC64" s="279"/>
      <c r="AD64" s="279"/>
      <c r="AE64" s="279"/>
    </row>
    <row r="65" spans="2:31" s="278" customFormat="1" ht="15.6" x14ac:dyDescent="0.3">
      <c r="B65" s="279"/>
      <c r="C65" s="279"/>
      <c r="D65" s="279"/>
      <c r="E65" s="279"/>
      <c r="F65" s="279"/>
      <c r="G65" s="279"/>
      <c r="H65" s="279"/>
      <c r="I65" s="542"/>
      <c r="J65" s="542"/>
      <c r="K65" s="280"/>
      <c r="L65" s="279"/>
      <c r="M65" s="350"/>
      <c r="N65" s="279"/>
      <c r="O65" s="279"/>
      <c r="P65" s="279"/>
      <c r="Q65" s="279"/>
      <c r="R65" s="279"/>
      <c r="S65" s="279"/>
      <c r="T65" s="279"/>
      <c r="U65" s="279"/>
      <c r="V65" s="279"/>
      <c r="W65" s="279"/>
      <c r="X65" s="279"/>
      <c r="Y65" s="279"/>
      <c r="Z65" s="279"/>
      <c r="AA65" s="279"/>
      <c r="AB65" s="279"/>
      <c r="AC65" s="279"/>
      <c r="AD65" s="279"/>
      <c r="AE65" s="279"/>
    </row>
    <row r="66" spans="2:31" s="278" customFormat="1" ht="15.6" x14ac:dyDescent="0.3">
      <c r="B66" s="279"/>
      <c r="C66" s="279"/>
      <c r="D66" s="279"/>
      <c r="E66" s="279"/>
      <c r="F66" s="279"/>
      <c r="G66" s="279"/>
      <c r="H66" s="279"/>
      <c r="I66" s="313"/>
      <c r="J66" s="313"/>
      <c r="K66" s="280"/>
      <c r="L66" s="279"/>
      <c r="M66" s="350"/>
      <c r="N66" s="279"/>
      <c r="O66" s="279"/>
      <c r="P66" s="279"/>
      <c r="Q66" s="279"/>
      <c r="R66" s="279"/>
      <c r="S66" s="279"/>
      <c r="T66" s="279"/>
      <c r="U66" s="279"/>
      <c r="V66" s="279"/>
      <c r="W66" s="279"/>
      <c r="X66" s="279"/>
      <c r="Y66" s="279"/>
      <c r="Z66" s="279"/>
      <c r="AA66" s="279"/>
      <c r="AB66" s="279"/>
      <c r="AC66" s="279"/>
      <c r="AD66" s="279"/>
      <c r="AE66" s="279"/>
    </row>
    <row r="67" spans="2:31" s="278" customFormat="1" ht="15.6" x14ac:dyDescent="0.3">
      <c r="B67" s="279"/>
      <c r="C67" s="279"/>
      <c r="D67" s="279"/>
      <c r="E67" s="279"/>
      <c r="F67" s="279"/>
      <c r="G67" s="279"/>
      <c r="H67" s="279"/>
      <c r="I67" s="279"/>
      <c r="J67" s="279"/>
      <c r="K67" s="279"/>
      <c r="L67" s="279"/>
      <c r="M67" s="350"/>
      <c r="N67" s="279"/>
      <c r="O67" s="279"/>
      <c r="P67" s="279"/>
      <c r="Q67" s="279"/>
      <c r="R67" s="279"/>
      <c r="S67" s="279"/>
      <c r="T67" s="279"/>
      <c r="U67" s="279"/>
      <c r="V67" s="279"/>
      <c r="W67" s="279"/>
      <c r="X67" s="279"/>
      <c r="Y67" s="279"/>
      <c r="Z67" s="279"/>
      <c r="AA67" s="279"/>
      <c r="AB67" s="279"/>
      <c r="AC67" s="279"/>
      <c r="AD67" s="279"/>
      <c r="AE67" s="279"/>
    </row>
    <row r="68" spans="2:31" s="278" customFormat="1" ht="15.6" x14ac:dyDescent="0.3">
      <c r="B68" s="279"/>
      <c r="C68" s="279"/>
      <c r="D68" s="279"/>
      <c r="E68" s="279"/>
      <c r="F68" s="279"/>
      <c r="G68" s="279"/>
      <c r="H68" s="279"/>
      <c r="I68" s="279"/>
      <c r="J68" s="279"/>
      <c r="K68" s="279"/>
      <c r="L68" s="279"/>
      <c r="M68" s="350"/>
      <c r="N68" s="279"/>
      <c r="O68" s="279"/>
      <c r="P68" s="279"/>
      <c r="Q68" s="279"/>
      <c r="R68" s="279"/>
      <c r="S68" s="279"/>
      <c r="T68" s="279"/>
      <c r="U68" s="279"/>
      <c r="V68" s="279"/>
      <c r="W68" s="279"/>
      <c r="X68" s="279"/>
      <c r="Y68" s="279"/>
      <c r="Z68" s="279"/>
      <c r="AA68" s="279"/>
      <c r="AB68" s="279"/>
      <c r="AC68" s="279"/>
      <c r="AD68" s="279"/>
      <c r="AE68" s="279"/>
    </row>
    <row r="69" spans="2:31" s="278" customFormat="1" ht="15.6" x14ac:dyDescent="0.3">
      <c r="B69" s="279"/>
      <c r="C69" s="279"/>
      <c r="D69" s="279"/>
      <c r="E69" s="279"/>
      <c r="F69" s="279"/>
      <c r="G69" s="279"/>
      <c r="H69" s="279"/>
      <c r="I69" s="279"/>
      <c r="J69" s="279"/>
      <c r="K69" s="279"/>
      <c r="L69" s="279"/>
      <c r="M69" s="350"/>
      <c r="N69" s="279"/>
      <c r="O69" s="279"/>
      <c r="P69" s="279"/>
      <c r="Q69" s="279"/>
      <c r="R69" s="279"/>
      <c r="S69" s="279"/>
      <c r="T69" s="279"/>
      <c r="U69" s="279"/>
      <c r="V69" s="279"/>
      <c r="W69" s="279"/>
      <c r="X69" s="279"/>
      <c r="Y69" s="279"/>
      <c r="Z69" s="279"/>
      <c r="AA69" s="279"/>
      <c r="AB69" s="279"/>
      <c r="AC69" s="279"/>
      <c r="AD69" s="279"/>
      <c r="AE69" s="279"/>
    </row>
    <row r="70" spans="2:31" s="278" customFormat="1" ht="15.6" x14ac:dyDescent="0.3">
      <c r="B70" s="279"/>
      <c r="C70" s="279"/>
      <c r="D70" s="279"/>
      <c r="E70" s="279"/>
      <c r="F70" s="279"/>
      <c r="G70" s="279"/>
      <c r="H70" s="279"/>
      <c r="I70" s="279"/>
      <c r="J70" s="279"/>
      <c r="K70" s="279"/>
      <c r="L70" s="279"/>
      <c r="M70" s="350"/>
      <c r="N70" s="279"/>
      <c r="O70" s="279"/>
      <c r="P70" s="279"/>
      <c r="Q70" s="279"/>
      <c r="R70" s="279"/>
      <c r="S70" s="279"/>
      <c r="T70" s="279"/>
      <c r="U70" s="279"/>
      <c r="V70" s="279"/>
      <c r="W70" s="279"/>
      <c r="X70" s="279"/>
      <c r="Y70" s="279"/>
      <c r="Z70" s="279"/>
      <c r="AA70" s="279"/>
      <c r="AB70" s="279"/>
      <c r="AC70" s="279"/>
      <c r="AD70" s="279"/>
      <c r="AE70" s="279"/>
    </row>
    <row r="71" spans="2:31" s="278" customFormat="1" ht="15.6" x14ac:dyDescent="0.3">
      <c r="B71" s="279"/>
      <c r="C71" s="279"/>
      <c r="D71" s="279"/>
      <c r="E71" s="279"/>
      <c r="F71" s="279"/>
      <c r="G71" s="279"/>
      <c r="H71" s="279"/>
      <c r="I71" s="279"/>
      <c r="J71" s="279"/>
      <c r="K71" s="279"/>
      <c r="L71" s="279"/>
      <c r="M71" s="350"/>
      <c r="N71" s="279"/>
      <c r="O71" s="279"/>
      <c r="P71" s="279"/>
      <c r="Q71" s="279"/>
      <c r="R71" s="279"/>
      <c r="S71" s="279"/>
      <c r="T71" s="279"/>
      <c r="U71" s="279"/>
      <c r="V71" s="279"/>
      <c r="W71" s="279"/>
      <c r="X71" s="279"/>
      <c r="Y71" s="279"/>
      <c r="Z71" s="279"/>
      <c r="AA71" s="279"/>
      <c r="AB71" s="279"/>
      <c r="AC71" s="279"/>
      <c r="AD71" s="279"/>
      <c r="AE71" s="279"/>
    </row>
    <row r="72" spans="2:31" s="278" customFormat="1" ht="15.6" x14ac:dyDescent="0.3">
      <c r="B72" s="279"/>
      <c r="C72" s="279"/>
      <c r="D72" s="279"/>
      <c r="E72" s="279"/>
      <c r="F72" s="279"/>
      <c r="G72" s="279"/>
      <c r="H72" s="279"/>
      <c r="I72" s="279"/>
      <c r="J72" s="279"/>
      <c r="K72" s="279"/>
      <c r="L72" s="279"/>
      <c r="M72" s="350"/>
      <c r="N72" s="279"/>
      <c r="O72" s="279"/>
      <c r="P72" s="279"/>
      <c r="Q72" s="279"/>
      <c r="R72" s="279"/>
      <c r="S72" s="279"/>
      <c r="T72" s="279"/>
      <c r="U72" s="279"/>
      <c r="V72" s="279"/>
      <c r="W72" s="279"/>
      <c r="X72" s="279"/>
      <c r="Y72" s="279"/>
      <c r="Z72" s="279"/>
      <c r="AA72" s="279"/>
      <c r="AB72" s="279"/>
      <c r="AC72" s="279"/>
      <c r="AD72" s="279"/>
      <c r="AE72" s="279"/>
    </row>
    <row r="73" spans="2:31" s="278" customFormat="1" ht="15.6" x14ac:dyDescent="0.3">
      <c r="B73" s="279"/>
      <c r="C73" s="279"/>
      <c r="D73" s="279"/>
      <c r="E73" s="279"/>
      <c r="F73" s="279"/>
      <c r="G73" s="279"/>
      <c r="H73" s="279"/>
      <c r="I73" s="279"/>
      <c r="J73" s="279"/>
      <c r="K73" s="279"/>
      <c r="L73" s="279"/>
      <c r="M73" s="350"/>
      <c r="N73" s="279"/>
      <c r="O73" s="279"/>
      <c r="P73" s="279"/>
      <c r="Q73" s="279"/>
      <c r="R73" s="279"/>
      <c r="S73" s="279"/>
      <c r="T73" s="279"/>
      <c r="U73" s="279"/>
      <c r="V73" s="279"/>
      <c r="W73" s="279"/>
      <c r="X73" s="279"/>
      <c r="Y73" s="279"/>
      <c r="Z73" s="279"/>
      <c r="AA73" s="279"/>
      <c r="AB73" s="279"/>
      <c r="AC73" s="279"/>
      <c r="AD73" s="279"/>
      <c r="AE73" s="279"/>
    </row>
    <row r="74" spans="2:31" s="278" customFormat="1" ht="15.6" x14ac:dyDescent="0.3">
      <c r="B74" s="279"/>
      <c r="C74" s="279"/>
      <c r="D74" s="279"/>
      <c r="E74" s="279"/>
      <c r="F74" s="279"/>
      <c r="G74" s="279"/>
      <c r="H74" s="279"/>
      <c r="I74" s="279"/>
      <c r="J74" s="279"/>
      <c r="K74" s="279"/>
      <c r="L74" s="279"/>
      <c r="M74" s="350"/>
      <c r="N74" s="279"/>
      <c r="O74" s="279"/>
      <c r="P74" s="279"/>
      <c r="Q74" s="279"/>
      <c r="R74" s="279"/>
      <c r="S74" s="279"/>
      <c r="T74" s="279"/>
      <c r="U74" s="279"/>
      <c r="V74" s="279"/>
      <c r="W74" s="279"/>
      <c r="X74" s="279"/>
      <c r="Y74" s="279"/>
      <c r="Z74" s="279"/>
      <c r="AA74" s="279"/>
      <c r="AB74" s="279"/>
      <c r="AC74" s="279"/>
      <c r="AD74" s="279"/>
      <c r="AE74" s="279"/>
    </row>
    <row r="75" spans="2:31" s="278" customFormat="1" ht="15.6" x14ac:dyDescent="0.3">
      <c r="B75" s="279"/>
      <c r="C75" s="279"/>
      <c r="D75" s="279"/>
      <c r="E75" s="279"/>
      <c r="F75" s="279"/>
      <c r="G75" s="279"/>
      <c r="H75" s="279"/>
      <c r="I75" s="279"/>
      <c r="J75" s="279"/>
      <c r="K75" s="279"/>
      <c r="L75" s="279"/>
      <c r="M75" s="350"/>
      <c r="N75" s="279"/>
      <c r="O75" s="279"/>
      <c r="P75" s="279"/>
      <c r="Q75" s="279"/>
      <c r="R75" s="279"/>
      <c r="S75" s="279"/>
      <c r="T75" s="279"/>
      <c r="U75" s="279"/>
      <c r="V75" s="279"/>
      <c r="W75" s="279"/>
      <c r="X75" s="279"/>
      <c r="Y75" s="279"/>
      <c r="Z75" s="279"/>
      <c r="AA75" s="279"/>
      <c r="AB75" s="279"/>
      <c r="AC75" s="279"/>
      <c r="AD75" s="279"/>
      <c r="AE75" s="279"/>
    </row>
    <row r="76" spans="2:31" s="278" customFormat="1" ht="15.6" x14ac:dyDescent="0.3">
      <c r="B76" s="279"/>
      <c r="C76" s="279"/>
      <c r="D76" s="279"/>
      <c r="E76" s="279"/>
      <c r="F76" s="279"/>
      <c r="G76" s="279"/>
      <c r="H76" s="279"/>
      <c r="I76" s="279"/>
      <c r="J76" s="279"/>
      <c r="K76" s="279"/>
      <c r="L76" s="279"/>
      <c r="M76" s="350"/>
      <c r="N76" s="279"/>
      <c r="O76" s="279"/>
      <c r="P76" s="279"/>
      <c r="Q76" s="279"/>
      <c r="R76" s="279"/>
      <c r="S76" s="279"/>
      <c r="T76" s="279"/>
      <c r="U76" s="279"/>
      <c r="V76" s="279"/>
      <c r="W76" s="279"/>
      <c r="X76" s="279"/>
      <c r="Y76" s="279"/>
      <c r="Z76" s="279"/>
      <c r="AA76" s="279"/>
      <c r="AB76" s="279"/>
      <c r="AC76" s="279"/>
      <c r="AD76" s="279"/>
      <c r="AE76" s="279"/>
    </row>
    <row r="77" spans="2:31" s="278" customFormat="1" ht="15.6" x14ac:dyDescent="0.3">
      <c r="B77" s="279"/>
      <c r="C77" s="279"/>
      <c r="D77" s="279"/>
      <c r="E77" s="279"/>
      <c r="F77" s="279"/>
      <c r="G77" s="279"/>
      <c r="H77" s="279"/>
      <c r="I77" s="279"/>
      <c r="J77" s="279"/>
      <c r="K77" s="279"/>
      <c r="L77" s="279"/>
      <c r="M77" s="350"/>
      <c r="N77" s="279"/>
      <c r="O77" s="279"/>
      <c r="P77" s="279"/>
      <c r="Q77" s="279"/>
      <c r="R77" s="279"/>
      <c r="S77" s="279"/>
      <c r="T77" s="279"/>
      <c r="U77" s="279"/>
      <c r="V77" s="279"/>
      <c r="W77" s="279"/>
      <c r="X77" s="279"/>
      <c r="Y77" s="279"/>
      <c r="Z77" s="279"/>
      <c r="AA77" s="279"/>
      <c r="AB77" s="279"/>
      <c r="AC77" s="279"/>
      <c r="AD77" s="279"/>
      <c r="AE77" s="279"/>
    </row>
    <row r="78" spans="2:31" s="278" customFormat="1" ht="15.6" x14ac:dyDescent="0.3">
      <c r="B78" s="279"/>
      <c r="C78" s="279"/>
      <c r="D78" s="279"/>
      <c r="E78" s="279"/>
      <c r="F78" s="279"/>
      <c r="G78" s="279"/>
      <c r="H78" s="279"/>
      <c r="I78" s="279"/>
      <c r="J78" s="279"/>
      <c r="K78" s="279"/>
      <c r="L78" s="279"/>
      <c r="M78" s="350"/>
      <c r="N78" s="279"/>
      <c r="O78" s="279"/>
      <c r="P78" s="279"/>
      <c r="Q78" s="279"/>
      <c r="R78" s="279"/>
      <c r="S78" s="279"/>
      <c r="T78" s="279"/>
      <c r="U78" s="279"/>
      <c r="V78" s="279"/>
      <c r="W78" s="279"/>
      <c r="X78" s="279"/>
      <c r="Y78" s="279"/>
      <c r="Z78" s="279"/>
      <c r="AA78" s="279"/>
      <c r="AB78" s="279"/>
      <c r="AC78" s="279"/>
      <c r="AD78" s="279"/>
      <c r="AE78" s="279"/>
    </row>
    <row r="79" spans="2:31" s="278" customFormat="1" ht="15.6" x14ac:dyDescent="0.3">
      <c r="B79" s="279"/>
      <c r="C79" s="279"/>
      <c r="D79" s="279"/>
      <c r="E79" s="279"/>
      <c r="F79" s="279"/>
      <c r="G79" s="279"/>
      <c r="H79" s="279"/>
      <c r="I79" s="279"/>
      <c r="J79" s="279"/>
      <c r="K79" s="279"/>
      <c r="L79" s="279"/>
      <c r="M79" s="350"/>
      <c r="N79" s="279"/>
      <c r="O79" s="279"/>
      <c r="P79" s="279"/>
      <c r="Q79" s="279"/>
      <c r="R79" s="279"/>
      <c r="S79" s="279"/>
      <c r="T79" s="279"/>
      <c r="U79" s="279"/>
      <c r="V79" s="279"/>
      <c r="W79" s="279"/>
      <c r="X79" s="279"/>
      <c r="Y79" s="279"/>
      <c r="Z79" s="279"/>
      <c r="AA79" s="279"/>
      <c r="AB79" s="279"/>
      <c r="AC79" s="279"/>
      <c r="AD79" s="279"/>
      <c r="AE79" s="279"/>
    </row>
    <row r="80" spans="2:31" s="278" customFormat="1" ht="15.6" x14ac:dyDescent="0.3">
      <c r="B80" s="279"/>
      <c r="C80" s="279"/>
      <c r="D80" s="279"/>
      <c r="E80" s="279"/>
      <c r="F80" s="279"/>
      <c r="G80" s="279"/>
      <c r="H80" s="279"/>
      <c r="I80" s="279"/>
      <c r="J80" s="279"/>
      <c r="K80" s="279"/>
      <c r="L80" s="279"/>
      <c r="M80" s="350"/>
      <c r="N80" s="279"/>
      <c r="O80" s="279"/>
      <c r="P80" s="279"/>
      <c r="Q80" s="279"/>
      <c r="R80" s="279"/>
      <c r="S80" s="279"/>
      <c r="T80" s="279"/>
      <c r="U80" s="279"/>
      <c r="V80" s="279"/>
      <c r="W80" s="279"/>
      <c r="X80" s="279"/>
      <c r="Y80" s="279"/>
      <c r="Z80" s="279"/>
      <c r="AA80" s="279"/>
      <c r="AB80" s="279"/>
      <c r="AC80" s="279"/>
      <c r="AD80" s="279"/>
      <c r="AE80" s="279"/>
    </row>
    <row r="81" spans="2:31" s="278" customFormat="1" ht="15.6" x14ac:dyDescent="0.3">
      <c r="B81" s="279"/>
      <c r="C81" s="279"/>
      <c r="D81" s="279"/>
      <c r="E81" s="279"/>
      <c r="F81" s="279"/>
      <c r="G81" s="279"/>
      <c r="H81" s="279"/>
      <c r="I81" s="279"/>
      <c r="J81" s="279"/>
      <c r="K81" s="279"/>
      <c r="L81" s="279"/>
      <c r="M81" s="350"/>
      <c r="N81" s="279"/>
      <c r="O81" s="279"/>
      <c r="P81" s="279"/>
      <c r="Q81" s="279"/>
      <c r="R81" s="279"/>
      <c r="S81" s="279"/>
      <c r="T81" s="279"/>
      <c r="U81" s="279"/>
      <c r="V81" s="279"/>
      <c r="W81" s="279"/>
      <c r="X81" s="279"/>
      <c r="Y81" s="279"/>
      <c r="Z81" s="279"/>
      <c r="AA81" s="279"/>
      <c r="AB81" s="279"/>
      <c r="AC81" s="279"/>
      <c r="AD81" s="279"/>
      <c r="AE81" s="279"/>
    </row>
  </sheetData>
  <sheetProtection sheet="1" objects="1" scenarios="1"/>
  <mergeCells count="5">
    <mergeCell ref="I65:J65"/>
    <mergeCell ref="P3:T3"/>
    <mergeCell ref="P4:T4"/>
    <mergeCell ref="P5:T5"/>
    <mergeCell ref="P6:T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3900D"/>
  </sheetPr>
  <dimension ref="A1:T56"/>
  <sheetViews>
    <sheetView zoomScaleNormal="100" workbookViewId="0">
      <selection activeCell="C2" sqref="C2"/>
    </sheetView>
  </sheetViews>
  <sheetFormatPr defaultRowHeight="14.4" x14ac:dyDescent="0.3"/>
  <cols>
    <col min="1" max="2" width="2.6640625" style="278" customWidth="1"/>
    <col min="3" max="3" width="61.6640625" customWidth="1"/>
    <col min="4" max="4" width="15.109375" customWidth="1"/>
    <col min="5" max="5" width="9.109375" style="278"/>
    <col min="6" max="6" width="60.44140625" customWidth="1"/>
    <col min="7" max="7" width="15.5546875" customWidth="1"/>
    <col min="8" max="20" width="9.109375" style="278"/>
  </cols>
  <sheetData>
    <row r="1" spans="1:20" s="278" customFormat="1" x14ac:dyDescent="0.3"/>
    <row r="2" spans="1:20" ht="18" x14ac:dyDescent="0.35">
      <c r="C2" s="234" t="s">
        <v>320</v>
      </c>
      <c r="D2" s="179"/>
      <c r="E2" s="347"/>
      <c r="F2" s="235" t="s">
        <v>320</v>
      </c>
      <c r="G2" s="179"/>
      <c r="H2" s="345"/>
    </row>
    <row r="3" spans="1:20" ht="15.6" x14ac:dyDescent="0.3">
      <c r="C3" s="236" t="s">
        <v>0</v>
      </c>
      <c r="D3" s="236" t="s">
        <v>1</v>
      </c>
      <c r="E3" s="347"/>
      <c r="F3" s="237" t="s">
        <v>2</v>
      </c>
      <c r="G3" s="237" t="s">
        <v>1</v>
      </c>
      <c r="H3" s="345"/>
    </row>
    <row r="4" spans="1:20" ht="15.6" x14ac:dyDescent="0.3">
      <c r="C4" s="238" t="s">
        <v>254</v>
      </c>
      <c r="D4" s="379">
        <v>0</v>
      </c>
      <c r="E4" s="347"/>
      <c r="F4" s="238" t="s">
        <v>80</v>
      </c>
      <c r="G4" s="379">
        <v>28.18</v>
      </c>
      <c r="H4" s="345"/>
    </row>
    <row r="5" spans="1:20" ht="15.6" x14ac:dyDescent="0.3">
      <c r="C5" s="238" t="s">
        <v>255</v>
      </c>
      <c r="D5" s="379">
        <v>300</v>
      </c>
      <c r="E5" s="347"/>
      <c r="F5" s="238" t="s">
        <v>261</v>
      </c>
      <c r="G5" s="379">
        <v>20</v>
      </c>
      <c r="H5" s="345"/>
    </row>
    <row r="6" spans="1:20" s="102" customFormat="1" ht="15.6" x14ac:dyDescent="0.3">
      <c r="A6" s="278"/>
      <c r="B6" s="278"/>
      <c r="C6" s="238" t="s">
        <v>301</v>
      </c>
      <c r="D6" s="379">
        <f>600/2000*200</f>
        <v>60</v>
      </c>
      <c r="E6" s="347"/>
      <c r="F6" s="238" t="s">
        <v>309</v>
      </c>
      <c r="G6" s="379">
        <v>10</v>
      </c>
      <c r="H6" s="345"/>
      <c r="I6" s="278"/>
      <c r="J6" s="278"/>
      <c r="K6" s="278"/>
      <c r="L6" s="278"/>
      <c r="M6" s="278"/>
      <c r="N6" s="278"/>
      <c r="O6" s="278"/>
      <c r="P6" s="278"/>
      <c r="Q6" s="278"/>
      <c r="R6" s="278"/>
      <c r="S6" s="278"/>
      <c r="T6" s="278"/>
    </row>
    <row r="7" spans="1:20" ht="15.6" x14ac:dyDescent="0.3">
      <c r="C7" s="238" t="s">
        <v>353</v>
      </c>
      <c r="D7" s="379">
        <f>2500*4.75/10</f>
        <v>1187.5</v>
      </c>
      <c r="E7" s="347"/>
      <c r="F7" s="238" t="s">
        <v>260</v>
      </c>
      <c r="G7" s="379">
        <f>D29</f>
        <v>23.310000000000002</v>
      </c>
      <c r="H7" s="345"/>
    </row>
    <row r="8" spans="1:20" s="102" customFormat="1" ht="15.6" x14ac:dyDescent="0.3">
      <c r="A8" s="278"/>
      <c r="B8" s="278"/>
      <c r="C8" s="238" t="s">
        <v>311</v>
      </c>
      <c r="D8" s="379">
        <v>30</v>
      </c>
      <c r="E8" s="347"/>
      <c r="F8" s="238" t="s">
        <v>263</v>
      </c>
      <c r="G8" s="379">
        <f>D30</f>
        <v>1.5</v>
      </c>
      <c r="H8" s="345"/>
      <c r="I8" s="278"/>
      <c r="J8" s="278"/>
      <c r="K8" s="278"/>
      <c r="L8" s="278"/>
      <c r="M8" s="278"/>
      <c r="N8" s="278"/>
      <c r="O8" s="278"/>
      <c r="P8" s="278"/>
      <c r="Q8" s="278"/>
      <c r="R8" s="278"/>
      <c r="S8" s="278"/>
      <c r="T8" s="278"/>
    </row>
    <row r="9" spans="1:20" ht="15.6" x14ac:dyDescent="0.3">
      <c r="C9" s="351" t="s">
        <v>312</v>
      </c>
      <c r="D9" s="380">
        <v>200</v>
      </c>
      <c r="E9" s="347"/>
      <c r="F9" s="238" t="s">
        <v>269</v>
      </c>
      <c r="G9" s="379">
        <f>D31</f>
        <v>91.176759676658605</v>
      </c>
      <c r="H9" s="345"/>
    </row>
    <row r="10" spans="1:20" ht="15.6" x14ac:dyDescent="0.3">
      <c r="C10" s="236" t="s">
        <v>4</v>
      </c>
      <c r="D10" s="239">
        <f>SUM(D4:D9)</f>
        <v>1777.5</v>
      </c>
      <c r="E10" s="347"/>
      <c r="F10" s="238" t="s">
        <v>6</v>
      </c>
      <c r="G10" s="379">
        <f>D33</f>
        <v>19.079448633262306</v>
      </c>
      <c r="H10" s="345"/>
    </row>
    <row r="11" spans="1:20" ht="15.6" x14ac:dyDescent="0.3">
      <c r="C11" s="236" t="s">
        <v>5</v>
      </c>
      <c r="D11" s="239"/>
      <c r="E11" s="347"/>
      <c r="F11" s="238" t="s">
        <v>264</v>
      </c>
      <c r="G11" s="379">
        <v>10.220000000000001</v>
      </c>
      <c r="H11" s="345"/>
    </row>
    <row r="12" spans="1:20" ht="15.6" x14ac:dyDescent="0.3">
      <c r="C12" s="238" t="s">
        <v>256</v>
      </c>
      <c r="D12" s="379">
        <v>27.216000000000001</v>
      </c>
      <c r="E12" s="347"/>
      <c r="F12" s="238" t="s">
        <v>268</v>
      </c>
      <c r="G12" s="379">
        <v>0</v>
      </c>
      <c r="H12" s="345"/>
    </row>
    <row r="13" spans="1:20" ht="15.6" x14ac:dyDescent="0.3">
      <c r="C13" s="238" t="s">
        <v>257</v>
      </c>
      <c r="D13" s="379">
        <v>13.24</v>
      </c>
      <c r="E13" s="347"/>
      <c r="F13" s="238" t="s">
        <v>266</v>
      </c>
      <c r="G13" s="379">
        <v>50.655000000000001</v>
      </c>
      <c r="H13" s="345"/>
    </row>
    <row r="14" spans="1:20" ht="15.6" x14ac:dyDescent="0.3">
      <c r="C14" s="241" t="s">
        <v>258</v>
      </c>
      <c r="D14" s="379">
        <f>25*80</f>
        <v>2000</v>
      </c>
      <c r="E14" s="347"/>
      <c r="F14" s="238" t="s">
        <v>311</v>
      </c>
      <c r="G14" s="379">
        <v>30</v>
      </c>
      <c r="H14" s="345"/>
    </row>
    <row r="15" spans="1:20" ht="15.6" x14ac:dyDescent="0.3">
      <c r="C15" s="238" t="s">
        <v>307</v>
      </c>
      <c r="D15" s="379">
        <v>61.2</v>
      </c>
      <c r="E15" s="347"/>
      <c r="F15" s="351" t="s">
        <v>312</v>
      </c>
      <c r="G15" s="379">
        <f>D38</f>
        <v>200</v>
      </c>
      <c r="H15" s="345"/>
    </row>
    <row r="16" spans="1:20" ht="15.6" x14ac:dyDescent="0.3">
      <c r="C16" s="238" t="s">
        <v>262</v>
      </c>
      <c r="D16" s="379">
        <v>102</v>
      </c>
      <c r="E16" s="347"/>
      <c r="F16" s="236" t="s">
        <v>4</v>
      </c>
      <c r="G16" s="239">
        <f>SUM(G4:G15)</f>
        <v>484.12120830992092</v>
      </c>
      <c r="H16" s="345"/>
    </row>
    <row r="17" spans="1:20" ht="15.6" x14ac:dyDescent="0.3">
      <c r="C17" s="238" t="s">
        <v>260</v>
      </c>
      <c r="D17" s="379">
        <v>0</v>
      </c>
      <c r="E17" s="347"/>
      <c r="F17" s="236" t="s">
        <v>7</v>
      </c>
      <c r="G17" s="239"/>
      <c r="H17" s="345"/>
    </row>
    <row r="18" spans="1:20" ht="15.6" x14ac:dyDescent="0.3">
      <c r="C18" s="238" t="s">
        <v>263</v>
      </c>
      <c r="D18" s="379">
        <v>0</v>
      </c>
      <c r="E18" s="347"/>
      <c r="F18" s="238" t="s">
        <v>80</v>
      </c>
      <c r="G18" s="379">
        <v>42.269999999999996</v>
      </c>
      <c r="H18" s="345"/>
    </row>
    <row r="19" spans="1:20" ht="15.6" x14ac:dyDescent="0.3">
      <c r="C19" s="238" t="s">
        <v>264</v>
      </c>
      <c r="D19" s="379">
        <v>10.220000000000001</v>
      </c>
      <c r="E19" s="347"/>
      <c r="F19" s="238" t="s">
        <v>261</v>
      </c>
      <c r="G19" s="379">
        <v>0</v>
      </c>
      <c r="H19" s="345"/>
    </row>
    <row r="20" spans="1:20" s="102" customFormat="1" ht="15.6" x14ac:dyDescent="0.3">
      <c r="A20" s="278"/>
      <c r="B20" s="278"/>
      <c r="C20" s="238" t="s">
        <v>306</v>
      </c>
      <c r="D20" s="379">
        <v>1100</v>
      </c>
      <c r="E20" s="347"/>
      <c r="F20" s="238" t="s">
        <v>309</v>
      </c>
      <c r="G20" s="379">
        <v>10</v>
      </c>
      <c r="H20" s="345"/>
      <c r="I20" s="278"/>
      <c r="J20" s="278"/>
      <c r="K20" s="278"/>
      <c r="L20" s="278"/>
      <c r="M20" s="278"/>
      <c r="N20" s="278"/>
      <c r="O20" s="278"/>
      <c r="P20" s="278"/>
      <c r="Q20" s="278"/>
      <c r="R20" s="278"/>
      <c r="S20" s="278"/>
      <c r="T20" s="278"/>
    </row>
    <row r="21" spans="1:20" ht="15.6" x14ac:dyDescent="0.3">
      <c r="C21" s="238" t="s">
        <v>350</v>
      </c>
      <c r="D21" s="379">
        <v>250</v>
      </c>
      <c r="E21" s="347"/>
      <c r="F21" s="238" t="s">
        <v>260</v>
      </c>
      <c r="G21" s="379">
        <f>D29</f>
        <v>23.310000000000002</v>
      </c>
      <c r="H21" s="345"/>
    </row>
    <row r="22" spans="1:20" ht="15.6" x14ac:dyDescent="0.3">
      <c r="C22" s="238" t="s">
        <v>266</v>
      </c>
      <c r="D22" s="379">
        <v>67.540000000000006</v>
      </c>
      <c r="E22" s="347"/>
      <c r="F22" s="238" t="s">
        <v>263</v>
      </c>
      <c r="G22" s="379">
        <f>D30</f>
        <v>1.5</v>
      </c>
      <c r="H22" s="345"/>
    </row>
    <row r="23" spans="1:20" s="102" customFormat="1" ht="15.6" x14ac:dyDescent="0.3">
      <c r="A23" s="278"/>
      <c r="B23" s="278"/>
      <c r="C23" s="238" t="s">
        <v>311</v>
      </c>
      <c r="D23" s="379">
        <v>30</v>
      </c>
      <c r="E23" s="347"/>
      <c r="F23" s="238" t="s">
        <v>267</v>
      </c>
      <c r="G23" s="379">
        <f>D31</f>
        <v>91.176759676658605</v>
      </c>
      <c r="H23" s="345"/>
      <c r="I23" s="278"/>
      <c r="J23" s="278"/>
      <c r="K23" s="278"/>
      <c r="L23" s="278"/>
      <c r="M23" s="278"/>
      <c r="N23" s="278"/>
      <c r="O23" s="278"/>
      <c r="P23" s="278"/>
      <c r="Q23" s="278"/>
      <c r="R23" s="278"/>
      <c r="S23" s="278"/>
      <c r="T23" s="278"/>
    </row>
    <row r="24" spans="1:20" ht="15.6" x14ac:dyDescent="0.3">
      <c r="C24" s="351" t="s">
        <v>312</v>
      </c>
      <c r="D24" s="379">
        <f>D9</f>
        <v>200</v>
      </c>
      <c r="E24" s="347"/>
      <c r="F24" s="238" t="s">
        <v>6</v>
      </c>
      <c r="G24" s="379">
        <f>D33*2</f>
        <v>38.158897266524612</v>
      </c>
      <c r="H24" s="345"/>
    </row>
    <row r="25" spans="1:20" ht="15.6" x14ac:dyDescent="0.3">
      <c r="C25" s="236" t="s">
        <v>4</v>
      </c>
      <c r="D25" s="239">
        <f>SUM(D12:D24)</f>
        <v>3861.4159999999997</v>
      </c>
      <c r="E25" s="347"/>
      <c r="F25" s="238" t="s">
        <v>270</v>
      </c>
      <c r="G25" s="379">
        <v>10.220000000000001</v>
      </c>
      <c r="H25" s="345"/>
    </row>
    <row r="26" spans="1:20" ht="15.6" x14ac:dyDescent="0.3">
      <c r="C26" s="237" t="s">
        <v>9</v>
      </c>
      <c r="D26" s="240"/>
      <c r="E26" s="347"/>
      <c r="F26" s="238" t="s">
        <v>268</v>
      </c>
      <c r="G26" s="379">
        <v>0</v>
      </c>
      <c r="H26" s="345"/>
    </row>
    <row r="27" spans="1:20" ht="15.6" x14ac:dyDescent="0.3">
      <c r="C27" s="238" t="s">
        <v>80</v>
      </c>
      <c r="D27" s="379">
        <v>14.09</v>
      </c>
      <c r="E27" s="347"/>
      <c r="F27" s="238" t="s">
        <v>266</v>
      </c>
      <c r="G27" s="379">
        <v>50.655000000000001</v>
      </c>
      <c r="H27" s="345"/>
    </row>
    <row r="28" spans="1:20" ht="15.6" x14ac:dyDescent="0.3">
      <c r="C28" s="238" t="s">
        <v>261</v>
      </c>
      <c r="D28" s="379">
        <f>0.1*80*25</f>
        <v>200</v>
      </c>
      <c r="E28" s="347"/>
      <c r="F28" s="238" t="s">
        <v>311</v>
      </c>
      <c r="G28" s="379">
        <v>30</v>
      </c>
      <c r="H28" s="345"/>
    </row>
    <row r="29" spans="1:20" ht="15.6" x14ac:dyDescent="0.3">
      <c r="C29" s="238" t="s">
        <v>260</v>
      </c>
      <c r="D29" s="379">
        <f>'Chestnuts Cost Per Acre'!H20*0.333</f>
        <v>23.310000000000002</v>
      </c>
      <c r="E29" s="347"/>
      <c r="F29" s="351" t="s">
        <v>312</v>
      </c>
      <c r="G29" s="379">
        <f>D38</f>
        <v>200</v>
      </c>
      <c r="H29" s="345"/>
    </row>
    <row r="30" spans="1:20" ht="15.6" x14ac:dyDescent="0.3">
      <c r="C30" s="238" t="s">
        <v>354</v>
      </c>
      <c r="D30" s="379">
        <f>'Chestnuts Cost Per Acre'!H33*0.5</f>
        <v>1.5</v>
      </c>
      <c r="E30" s="347"/>
      <c r="F30" s="236" t="s">
        <v>4</v>
      </c>
      <c r="G30" s="239">
        <f>SUM(G18:G29)</f>
        <v>497.29065694318319</v>
      </c>
      <c r="H30" s="345"/>
    </row>
    <row r="31" spans="1:20" ht="15.6" x14ac:dyDescent="0.3">
      <c r="C31" s="238" t="s">
        <v>300</v>
      </c>
      <c r="D31" s="379">
        <f>'Chestnuts Cost Per Acre'!K16+'Chestnuts Cost Per Acre'!L16</f>
        <v>91.176759676658605</v>
      </c>
      <c r="E31" s="347"/>
      <c r="F31" s="236" t="s">
        <v>10</v>
      </c>
      <c r="G31" s="239"/>
      <c r="H31" s="345"/>
    </row>
    <row r="32" spans="1:20" s="102" customFormat="1" ht="15.6" x14ac:dyDescent="0.3">
      <c r="A32" s="278"/>
      <c r="B32" s="278"/>
      <c r="C32" s="238" t="s">
        <v>309</v>
      </c>
      <c r="D32" s="379">
        <v>10</v>
      </c>
      <c r="E32" s="347"/>
      <c r="F32" s="238" t="s">
        <v>309</v>
      </c>
      <c r="G32" s="379">
        <v>10</v>
      </c>
      <c r="H32" s="345"/>
      <c r="I32" s="278"/>
      <c r="J32" s="278"/>
      <c r="K32" s="278"/>
      <c r="L32" s="278"/>
      <c r="M32" s="278"/>
      <c r="N32" s="278"/>
      <c r="O32" s="278"/>
      <c r="P32" s="278"/>
      <c r="Q32" s="278"/>
      <c r="R32" s="278"/>
      <c r="S32" s="278"/>
      <c r="T32" s="278"/>
    </row>
    <row r="33" spans="1:20" ht="15.6" x14ac:dyDescent="0.3">
      <c r="C33" s="238" t="s">
        <v>355</v>
      </c>
      <c r="D33" s="379">
        <f>('Chestnuts Cost Per Acre'!K46+'Chestnuts Cost Per Acre'!L46)*0.1</f>
        <v>19.079448633262306</v>
      </c>
      <c r="E33" s="347"/>
      <c r="F33" s="238" t="s">
        <v>80</v>
      </c>
      <c r="G33" s="379">
        <v>56.36</v>
      </c>
      <c r="H33" s="345"/>
    </row>
    <row r="34" spans="1:20" ht="15.6" x14ac:dyDescent="0.3">
      <c r="C34" s="238" t="s">
        <v>264</v>
      </c>
      <c r="D34" s="379">
        <v>10.220000000000001</v>
      </c>
      <c r="E34" s="347"/>
      <c r="F34" s="238" t="s">
        <v>260</v>
      </c>
      <c r="G34" s="379">
        <f>D29</f>
        <v>23.310000000000002</v>
      </c>
      <c r="H34" s="345"/>
    </row>
    <row r="35" spans="1:20" ht="15.6" x14ac:dyDescent="0.3">
      <c r="C35" s="238" t="s">
        <v>268</v>
      </c>
      <c r="D35" s="379">
        <v>0</v>
      </c>
      <c r="E35" s="347"/>
      <c r="F35" s="238" t="s">
        <v>263</v>
      </c>
      <c r="G35" s="379">
        <f>D30</f>
        <v>1.5</v>
      </c>
      <c r="H35" s="345"/>
    </row>
    <row r="36" spans="1:20" ht="15.6" x14ac:dyDescent="0.3">
      <c r="C36" s="238" t="s">
        <v>266</v>
      </c>
      <c r="D36" s="379">
        <v>50.655000000000001</v>
      </c>
      <c r="E36" s="347"/>
      <c r="F36" s="238" t="s">
        <v>267</v>
      </c>
      <c r="G36" s="379">
        <f>D31</f>
        <v>91.176759676658605</v>
      </c>
      <c r="H36" s="345"/>
    </row>
    <row r="37" spans="1:20" s="102" customFormat="1" ht="15.6" x14ac:dyDescent="0.3">
      <c r="A37" s="278"/>
      <c r="B37" s="278"/>
      <c r="C37" s="238" t="s">
        <v>311</v>
      </c>
      <c r="D37" s="379">
        <v>30</v>
      </c>
      <c r="E37" s="347"/>
      <c r="F37" s="238" t="s">
        <v>6</v>
      </c>
      <c r="G37" s="379">
        <f>D33*3</f>
        <v>57.238345899786921</v>
      </c>
      <c r="H37" s="345"/>
      <c r="I37" s="278"/>
      <c r="J37" s="278"/>
      <c r="K37" s="278"/>
      <c r="L37" s="278"/>
      <c r="M37" s="278"/>
      <c r="N37" s="278"/>
      <c r="O37" s="278"/>
      <c r="P37" s="278"/>
      <c r="Q37" s="278"/>
      <c r="R37" s="278"/>
      <c r="S37" s="278"/>
      <c r="T37" s="278"/>
    </row>
    <row r="38" spans="1:20" ht="15.6" x14ac:dyDescent="0.3">
      <c r="C38" s="351" t="s">
        <v>312</v>
      </c>
      <c r="D38" s="379">
        <f>D24</f>
        <v>200</v>
      </c>
      <c r="E38" s="347"/>
      <c r="F38" s="238" t="s">
        <v>264</v>
      </c>
      <c r="G38" s="379">
        <v>0</v>
      </c>
      <c r="H38" s="345"/>
    </row>
    <row r="39" spans="1:20" ht="15.6" x14ac:dyDescent="0.3">
      <c r="C39" s="236" t="s">
        <v>4</v>
      </c>
      <c r="D39" s="239">
        <f>SUM(D27:D38)</f>
        <v>650.031208309921</v>
      </c>
      <c r="E39" s="347"/>
      <c r="F39" s="238" t="s">
        <v>268</v>
      </c>
      <c r="G39" s="379">
        <v>0</v>
      </c>
      <c r="H39" s="345"/>
    </row>
    <row r="40" spans="1:20" ht="15.6" x14ac:dyDescent="0.3">
      <c r="C40" s="279"/>
      <c r="D40" s="349"/>
      <c r="E40" s="348"/>
      <c r="F40" s="238" t="s">
        <v>266</v>
      </c>
      <c r="G40" s="379">
        <v>67.540000000000006</v>
      </c>
      <c r="H40" s="345"/>
    </row>
    <row r="41" spans="1:20" ht="15.6" x14ac:dyDescent="0.3">
      <c r="C41" s="279"/>
      <c r="D41" s="279"/>
      <c r="E41" s="279"/>
      <c r="F41" s="238" t="s">
        <v>311</v>
      </c>
      <c r="G41" s="379">
        <v>30</v>
      </c>
      <c r="H41" s="345"/>
    </row>
    <row r="42" spans="1:20" ht="15.6" x14ac:dyDescent="0.3">
      <c r="C42" s="279"/>
      <c r="D42" s="279"/>
      <c r="E42" s="279"/>
      <c r="F42" s="351" t="s">
        <v>312</v>
      </c>
      <c r="G42" s="379">
        <f>G29</f>
        <v>200</v>
      </c>
      <c r="H42" s="345"/>
    </row>
    <row r="43" spans="1:20" ht="15.6" x14ac:dyDescent="0.3">
      <c r="C43" s="279"/>
      <c r="D43" s="279"/>
      <c r="E43" s="279"/>
      <c r="F43" s="236" t="s">
        <v>4</v>
      </c>
      <c r="G43" s="239">
        <f>SUM(G33:G42)</f>
        <v>527.12510557644555</v>
      </c>
      <c r="H43" s="345"/>
    </row>
    <row r="44" spans="1:20" ht="15.6" x14ac:dyDescent="0.3">
      <c r="C44" s="279"/>
      <c r="D44" s="279"/>
      <c r="E44" s="279"/>
      <c r="F44" s="236" t="s">
        <v>12</v>
      </c>
      <c r="G44" s="239">
        <f>SUM(G43+G30+G16+D39+D25+D10)</f>
        <v>7797.4841791394701</v>
      </c>
      <c r="H44" s="345"/>
    </row>
    <row r="45" spans="1:20" ht="15.6" x14ac:dyDescent="0.3">
      <c r="C45" s="279"/>
      <c r="D45" s="279"/>
      <c r="E45" s="279"/>
      <c r="F45" s="279"/>
      <c r="G45" s="279"/>
      <c r="H45" s="345"/>
    </row>
    <row r="46" spans="1:20" ht="15.6" x14ac:dyDescent="0.3">
      <c r="C46" s="279"/>
      <c r="D46" s="279"/>
      <c r="E46" s="279"/>
      <c r="F46" s="279"/>
      <c r="G46" s="279"/>
      <c r="H46" s="345"/>
    </row>
    <row r="47" spans="1:20" ht="15.6" x14ac:dyDescent="0.3">
      <c r="C47" s="279"/>
      <c r="D47" s="279"/>
      <c r="E47" s="279"/>
      <c r="F47" s="279"/>
      <c r="G47" s="279"/>
      <c r="H47" s="345"/>
    </row>
    <row r="48" spans="1:20" ht="15.6" x14ac:dyDescent="0.3">
      <c r="C48" s="279"/>
      <c r="D48" s="279"/>
      <c r="E48" s="279"/>
      <c r="F48" s="279"/>
      <c r="G48" s="279"/>
      <c r="H48" s="345"/>
    </row>
    <row r="49" spans="3:7" ht="15.6" x14ac:dyDescent="0.3">
      <c r="C49" s="279"/>
      <c r="D49" s="279"/>
      <c r="E49" s="279"/>
      <c r="F49" s="279"/>
      <c r="G49" s="279"/>
    </row>
    <row r="50" spans="3:7" ht="15.6" x14ac:dyDescent="0.3">
      <c r="C50" s="279"/>
      <c r="D50" s="279"/>
      <c r="E50" s="279"/>
      <c r="F50" s="279"/>
      <c r="G50" s="279"/>
    </row>
    <row r="51" spans="3:7" ht="15.6" x14ac:dyDescent="0.3">
      <c r="C51" s="279"/>
      <c r="D51" s="279"/>
      <c r="E51" s="279"/>
      <c r="F51" s="279"/>
      <c r="G51" s="279"/>
    </row>
    <row r="52" spans="3:7" ht="15.6" x14ac:dyDescent="0.3">
      <c r="C52" s="279"/>
      <c r="D52" s="279"/>
      <c r="E52" s="279"/>
      <c r="F52" s="279"/>
      <c r="G52" s="279"/>
    </row>
    <row r="53" spans="3:7" ht="15.6" x14ac:dyDescent="0.3">
      <c r="C53" s="279"/>
      <c r="D53" s="279"/>
      <c r="E53" s="279"/>
      <c r="F53" s="279"/>
      <c r="G53" s="279"/>
    </row>
    <row r="54" spans="3:7" ht="15.6" x14ac:dyDescent="0.3">
      <c r="C54" s="279"/>
      <c r="D54" s="279"/>
      <c r="E54" s="279"/>
      <c r="F54" s="279"/>
      <c r="G54" s="279"/>
    </row>
    <row r="55" spans="3:7" ht="15.6" x14ac:dyDescent="0.3">
      <c r="C55" s="279"/>
      <c r="D55" s="279"/>
      <c r="E55" s="279"/>
      <c r="F55" s="279"/>
      <c r="G55" s="279"/>
    </row>
    <row r="56" spans="3:7" ht="15.6" x14ac:dyDescent="0.3">
      <c r="C56" s="279"/>
    </row>
  </sheetData>
  <sheetProtection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topLeftCell="C1" workbookViewId="0">
      <selection activeCell="T26" sqref="T26"/>
    </sheetView>
  </sheetViews>
  <sheetFormatPr defaultColWidth="9.109375" defaultRowHeight="14.4" x14ac:dyDescent="0.3"/>
  <cols>
    <col min="1" max="1" width="9.109375" style="102"/>
    <col min="2" max="2" width="53.33203125" style="102" customWidth="1"/>
    <col min="3" max="3" width="12.88671875" style="102" customWidth="1"/>
    <col min="4" max="4" width="12.33203125" style="102" customWidth="1"/>
    <col min="5" max="5" width="14" style="102" customWidth="1"/>
    <col min="6" max="6" width="11.6640625" style="102" customWidth="1"/>
    <col min="7" max="7" width="11" style="102" customWidth="1"/>
    <col min="8" max="8" width="12" style="102" customWidth="1"/>
    <col min="9" max="9" width="12.33203125" style="102" customWidth="1"/>
    <col min="10" max="12" width="9.109375" style="102"/>
    <col min="13" max="13" width="11" style="102" bestFit="1" customWidth="1"/>
    <col min="14" max="14" width="9.6640625" style="102" bestFit="1" customWidth="1"/>
    <col min="15" max="16384" width="9.109375" style="102"/>
  </cols>
  <sheetData>
    <row r="1" spans="1:17" ht="15.6" x14ac:dyDescent="0.3">
      <c r="A1" s="103"/>
      <c r="B1" s="103"/>
      <c r="C1" s="103"/>
      <c r="D1" s="103"/>
      <c r="E1" s="103"/>
      <c r="F1" s="103"/>
      <c r="G1" s="103"/>
      <c r="H1" s="103"/>
      <c r="I1" s="103"/>
      <c r="J1" s="103"/>
      <c r="K1" s="103"/>
      <c r="L1" s="103"/>
      <c r="M1" s="103"/>
      <c r="N1" s="103"/>
      <c r="O1" s="103"/>
      <c r="P1" s="103"/>
      <c r="Q1" s="103"/>
    </row>
    <row r="2" spans="1:17" ht="15.6" x14ac:dyDescent="0.3">
      <c r="A2" s="103"/>
      <c r="B2" s="7" t="s">
        <v>13</v>
      </c>
      <c r="C2" s="5"/>
      <c r="D2" s="5"/>
      <c r="E2" s="5"/>
      <c r="F2" s="5"/>
      <c r="G2" s="5"/>
      <c r="H2" s="5"/>
      <c r="I2" s="8">
        <f>' Do Not Modify Defender ML'!D35</f>
        <v>8700</v>
      </c>
      <c r="J2" s="4"/>
      <c r="K2" s="4"/>
      <c r="L2" s="103"/>
      <c r="M2" s="103"/>
      <c r="N2" s="103"/>
      <c r="O2" s="103"/>
      <c r="P2" s="103"/>
      <c r="Q2" s="103"/>
    </row>
    <row r="3" spans="1:17" ht="15.6" x14ac:dyDescent="0.3">
      <c r="A3" s="103"/>
      <c r="B3" s="9"/>
      <c r="C3" s="10" t="s">
        <v>14</v>
      </c>
      <c r="D3" s="10" t="s">
        <v>15</v>
      </c>
      <c r="E3" s="10" t="s">
        <v>16</v>
      </c>
      <c r="F3" s="11" t="s">
        <v>17</v>
      </c>
      <c r="G3" s="12"/>
      <c r="H3" s="11" t="s">
        <v>18</v>
      </c>
      <c r="I3" s="12"/>
      <c r="J3" s="4"/>
      <c r="K3" s="4"/>
      <c r="L3" s="103"/>
      <c r="M3" s="103"/>
      <c r="N3" s="103"/>
      <c r="O3" s="103"/>
      <c r="P3" s="103"/>
      <c r="Q3" s="103"/>
    </row>
    <row r="4" spans="1:17" ht="31.2" x14ac:dyDescent="0.3">
      <c r="A4" s="103"/>
      <c r="B4" s="13" t="s">
        <v>19</v>
      </c>
      <c r="C4" s="14" t="s">
        <v>20</v>
      </c>
      <c r="D4" s="14" t="s">
        <v>21</v>
      </c>
      <c r="E4" s="14" t="s">
        <v>22</v>
      </c>
      <c r="F4" s="14" t="s">
        <v>21</v>
      </c>
      <c r="G4" s="14" t="s">
        <v>23</v>
      </c>
      <c r="H4" s="14" t="s">
        <v>22</v>
      </c>
      <c r="I4" s="14" t="s">
        <v>24</v>
      </c>
      <c r="J4" s="15"/>
      <c r="K4" s="4"/>
      <c r="L4" s="103" t="s">
        <v>107</v>
      </c>
      <c r="M4" s="103" t="s">
        <v>112</v>
      </c>
      <c r="N4" s="103"/>
      <c r="O4" s="103" t="s">
        <v>140</v>
      </c>
      <c r="P4" s="103"/>
      <c r="Q4" s="103"/>
    </row>
    <row r="5" spans="1:17" ht="15.6" x14ac:dyDescent="0.3">
      <c r="A5" s="103"/>
      <c r="B5" s="7" t="s">
        <v>25</v>
      </c>
      <c r="C5" s="5"/>
      <c r="D5" s="5"/>
      <c r="E5" s="5"/>
      <c r="F5" s="5"/>
      <c r="G5" s="5"/>
      <c r="H5" s="5"/>
      <c r="I5" s="6"/>
      <c r="J5" s="4"/>
      <c r="K5" s="4"/>
      <c r="L5" s="103">
        <v>6</v>
      </c>
      <c r="M5" s="142">
        <v>1161.149979320546</v>
      </c>
      <c r="N5" s="142">
        <v>1475.9079310312782</v>
      </c>
      <c r="O5" s="105">
        <f t="shared" ref="O5:O10" si="0">M5/N5</f>
        <v>0.78673605236960975</v>
      </c>
      <c r="P5" s="103"/>
      <c r="Q5" s="103"/>
    </row>
    <row r="6" spans="1:17" ht="15.6" x14ac:dyDescent="0.3">
      <c r="A6" s="103"/>
      <c r="B6" s="16" t="s">
        <v>26</v>
      </c>
      <c r="C6" s="17">
        <f>8/2</f>
        <v>4</v>
      </c>
      <c r="D6" s="18">
        <v>14.09</v>
      </c>
      <c r="E6" s="18"/>
      <c r="F6" s="18">
        <f>(2.1/8.5)</f>
        <v>0.24705882352941178</v>
      </c>
      <c r="G6" s="18"/>
      <c r="H6" s="18">
        <f>(C6*D6)+(C6*F6)</f>
        <v>57.348235294117643</v>
      </c>
      <c r="I6" s="18">
        <f>(C6*G6)</f>
        <v>0</v>
      </c>
      <c r="J6" s="4" t="s">
        <v>27</v>
      </c>
      <c r="K6" s="4"/>
      <c r="L6" s="103">
        <v>7</v>
      </c>
      <c r="M6" s="142">
        <v>1191.640223113646</v>
      </c>
      <c r="N6" s="142">
        <v>1475.9079310312782</v>
      </c>
      <c r="O6" s="105">
        <f t="shared" si="0"/>
        <v>0.80739468774383338</v>
      </c>
      <c r="P6" s="103"/>
      <c r="Q6" s="103"/>
    </row>
    <row r="7" spans="1:17" ht="15.6" x14ac:dyDescent="0.3">
      <c r="A7" s="103"/>
      <c r="B7" s="19" t="s">
        <v>28</v>
      </c>
      <c r="C7" s="20">
        <v>0.5</v>
      </c>
      <c r="D7" s="21">
        <f>D6</f>
        <v>14.09</v>
      </c>
      <c r="E7" s="21"/>
      <c r="F7" s="21">
        <v>21.026510456730769</v>
      </c>
      <c r="G7" s="21">
        <v>9.8784735279297031</v>
      </c>
      <c r="H7" s="21">
        <f>(C7*D7)+(C7*F7)</f>
        <v>17.558255228365383</v>
      </c>
      <c r="I7" s="21">
        <f>(C7*G7)</f>
        <v>4.9392367639648516</v>
      </c>
      <c r="J7" s="4" t="s">
        <v>29</v>
      </c>
      <c r="K7" s="4"/>
      <c r="L7" s="103">
        <v>8</v>
      </c>
      <c r="M7" s="142">
        <v>1284.9281688640499</v>
      </c>
      <c r="N7" s="142">
        <v>1475.9079310312782</v>
      </c>
      <c r="O7" s="105">
        <f t="shared" si="0"/>
        <v>0.87060184571690535</v>
      </c>
      <c r="P7" s="103"/>
      <c r="Q7" s="103"/>
    </row>
    <row r="8" spans="1:17" ht="15.6" x14ac:dyDescent="0.3">
      <c r="A8" s="103"/>
      <c r="B8" s="19" t="s">
        <v>30</v>
      </c>
      <c r="C8" s="20">
        <v>0.5</v>
      </c>
      <c r="D8" s="21"/>
      <c r="E8" s="21"/>
      <c r="F8" s="21">
        <v>4.3655666666666653</v>
      </c>
      <c r="G8" s="21">
        <v>4.8436172645021385</v>
      </c>
      <c r="H8" s="21">
        <f>(C8*D8)+(C8*F8)</f>
        <v>2.1827833333333326</v>
      </c>
      <c r="I8" s="21">
        <f>(C8*G8)</f>
        <v>2.4218086322510692</v>
      </c>
      <c r="J8" s="4"/>
      <c r="K8" s="4"/>
      <c r="L8" s="103">
        <v>9</v>
      </c>
      <c r="M8" s="142">
        <v>1328.24670959884</v>
      </c>
      <c r="N8" s="142">
        <v>1475.9079310312782</v>
      </c>
      <c r="O8" s="105">
        <f t="shared" si="0"/>
        <v>0.89995228135317273</v>
      </c>
      <c r="P8" s="103"/>
      <c r="Q8" s="103"/>
    </row>
    <row r="9" spans="1:17" ht="15.6" x14ac:dyDescent="0.3">
      <c r="A9" s="103"/>
      <c r="B9" s="143" t="s">
        <v>31</v>
      </c>
      <c r="C9" s="20">
        <v>0.5</v>
      </c>
      <c r="D9" s="21">
        <f>D7</f>
        <v>14.09</v>
      </c>
      <c r="E9" s="21"/>
      <c r="F9" s="21">
        <v>21.026510456730769</v>
      </c>
      <c r="G9" s="21">
        <v>9.8784735279297031</v>
      </c>
      <c r="H9" s="21">
        <f>(C9*D9)+(C9*F9)</f>
        <v>17.558255228365383</v>
      </c>
      <c r="I9" s="21">
        <f>(C9*G9)</f>
        <v>4.9392367639648516</v>
      </c>
      <c r="J9" s="4"/>
      <c r="K9" s="4"/>
      <c r="L9" s="103">
        <v>10</v>
      </c>
      <c r="M9" s="142">
        <v>1394.2969762251801</v>
      </c>
      <c r="N9" s="142">
        <v>1475.9079310312782</v>
      </c>
      <c r="O9" s="105">
        <f t="shared" si="0"/>
        <v>0.94470457601710078</v>
      </c>
      <c r="P9" s="103"/>
      <c r="Q9" s="103"/>
    </row>
    <row r="10" spans="1:17" ht="15.6" x14ac:dyDescent="0.3">
      <c r="A10" s="103"/>
      <c r="B10" s="144" t="s">
        <v>32</v>
      </c>
      <c r="C10" s="20">
        <v>0.5</v>
      </c>
      <c r="D10" s="23"/>
      <c r="E10" s="23"/>
      <c r="F10" s="23">
        <v>5.5115749999999997</v>
      </c>
      <c r="G10" s="23">
        <v>9.1318329239921923</v>
      </c>
      <c r="H10" s="23">
        <f>(C10*D10)+(C10*F10)</f>
        <v>2.7557874999999998</v>
      </c>
      <c r="I10" s="23">
        <f>(C10*G10)</f>
        <v>4.5659164619960961</v>
      </c>
      <c r="J10" s="4"/>
      <c r="K10" s="4"/>
      <c r="L10" s="103">
        <v>11</v>
      </c>
      <c r="M10" s="142">
        <v>1433.06870883448</v>
      </c>
      <c r="N10" s="142">
        <v>1475.9079310312782</v>
      </c>
      <c r="O10" s="105">
        <f t="shared" si="0"/>
        <v>0.97097432617841917</v>
      </c>
      <c r="P10" s="103"/>
      <c r="Q10" s="103"/>
    </row>
    <row r="11" spans="1:17" ht="15.6" x14ac:dyDescent="0.3">
      <c r="A11" s="103"/>
      <c r="B11" s="24" t="s">
        <v>4</v>
      </c>
      <c r="C11" s="25"/>
      <c r="D11" s="26"/>
      <c r="E11" s="26"/>
      <c r="F11" s="26"/>
      <c r="G11" s="27"/>
      <c r="H11" s="28">
        <f>SUM(H6:H10)</f>
        <v>97.403316584181738</v>
      </c>
      <c r="I11" s="27">
        <f>SUM(I6:I10)</f>
        <v>16.866198622176867</v>
      </c>
      <c r="J11" s="4"/>
      <c r="K11" s="4"/>
      <c r="L11" s="103"/>
      <c r="M11" s="103"/>
      <c r="N11" s="103"/>
      <c r="O11" s="103"/>
      <c r="P11" s="103"/>
      <c r="Q11" s="103"/>
    </row>
    <row r="12" spans="1:17" ht="15.6" x14ac:dyDescent="0.3">
      <c r="A12" s="103"/>
      <c r="B12" s="7" t="s">
        <v>8</v>
      </c>
      <c r="C12" s="25"/>
      <c r="D12" s="26"/>
      <c r="E12" s="26"/>
      <c r="F12" s="26"/>
      <c r="G12" s="26"/>
      <c r="H12" s="26"/>
      <c r="I12" s="27"/>
      <c r="J12" s="4"/>
      <c r="K12" s="4"/>
      <c r="L12" s="103">
        <v>23</v>
      </c>
      <c r="M12" s="142">
        <v>1419.4575088344782</v>
      </c>
      <c r="N12" s="142">
        <v>1475.9079310312782</v>
      </c>
      <c r="O12" s="149">
        <f t="shared" ref="O12:O19" si="1">M12/N12</f>
        <v>0.96175207070175728</v>
      </c>
      <c r="P12" s="103"/>
      <c r="Q12" s="103"/>
    </row>
    <row r="13" spans="1:17" ht="15.6" x14ac:dyDescent="0.3">
      <c r="A13" s="103"/>
      <c r="B13" s="16" t="s">
        <v>33</v>
      </c>
      <c r="C13" s="17">
        <f>6/10</f>
        <v>0.6</v>
      </c>
      <c r="D13" s="18">
        <f>D9</f>
        <v>14.09</v>
      </c>
      <c r="E13" s="18"/>
      <c r="F13" s="18">
        <v>15.144425</v>
      </c>
      <c r="G13" s="18">
        <v>6.4185969257159483</v>
      </c>
      <c r="H13" s="18">
        <f>(C13*D13)+(C13*F13)</f>
        <v>17.540655000000001</v>
      </c>
      <c r="I13" s="29">
        <f>(C13*G13)</f>
        <v>3.8511581554295686</v>
      </c>
      <c r="J13" s="4"/>
      <c r="K13" s="4"/>
      <c r="L13" s="103">
        <v>24</v>
      </c>
      <c r="M13" s="142">
        <v>1415.3535088344784</v>
      </c>
      <c r="N13" s="142">
        <v>1475.9079310312782</v>
      </c>
      <c r="O13" s="149">
        <f t="shared" si="1"/>
        <v>0.95897140944659875</v>
      </c>
      <c r="P13" s="103"/>
      <c r="Q13" s="103"/>
    </row>
    <row r="14" spans="1:17" ht="15.6" x14ac:dyDescent="0.3">
      <c r="A14" s="103"/>
      <c r="B14" s="22" t="s">
        <v>34</v>
      </c>
      <c r="C14" s="30">
        <v>0.6</v>
      </c>
      <c r="D14" s="31"/>
      <c r="E14" s="23"/>
      <c r="F14" s="23">
        <v>3.8028574468085106</v>
      </c>
      <c r="G14" s="23">
        <v>11.462791594793437</v>
      </c>
      <c r="H14" s="21">
        <f>(C14*D14)+(C14*F14)</f>
        <v>2.2817144680851063</v>
      </c>
      <c r="I14" s="32">
        <f>(C14*G14)</f>
        <v>6.8776749568760618</v>
      </c>
      <c r="J14" s="4"/>
      <c r="K14" s="4"/>
      <c r="L14" s="103">
        <v>25</v>
      </c>
      <c r="M14" s="142">
        <v>1386.2495088344799</v>
      </c>
      <c r="N14" s="142">
        <v>1475.9079310312782</v>
      </c>
      <c r="O14" s="149">
        <f t="shared" si="1"/>
        <v>0.93925202222190773</v>
      </c>
      <c r="P14" s="103"/>
      <c r="Q14" s="103"/>
    </row>
    <row r="15" spans="1:17" ht="15.6" x14ac:dyDescent="0.3">
      <c r="A15" s="103"/>
      <c r="B15" s="24" t="s">
        <v>4</v>
      </c>
      <c r="C15" s="25"/>
      <c r="D15" s="26"/>
      <c r="E15" s="26"/>
      <c r="F15" s="26"/>
      <c r="G15" s="26"/>
      <c r="H15" s="28">
        <f>SUM(H13:H14)</f>
        <v>19.822369468085107</v>
      </c>
      <c r="I15" s="27">
        <f>SUM(I13:I14)</f>
        <v>10.72883311230563</v>
      </c>
      <c r="J15" s="4"/>
      <c r="K15" s="4"/>
      <c r="L15" s="103">
        <v>26</v>
      </c>
      <c r="M15" s="142">
        <v>1357.1455088344801</v>
      </c>
      <c r="N15" s="142">
        <v>1475.9079310312782</v>
      </c>
      <c r="O15" s="149">
        <f t="shared" si="1"/>
        <v>0.91953263499721571</v>
      </c>
      <c r="P15" s="103"/>
      <c r="Q15" s="103"/>
    </row>
    <row r="16" spans="1:17" ht="15.6" x14ac:dyDescent="0.3">
      <c r="A16" s="103"/>
      <c r="B16" s="7" t="s">
        <v>35</v>
      </c>
      <c r="C16" s="25"/>
      <c r="D16" s="26"/>
      <c r="E16" s="26"/>
      <c r="F16" s="26"/>
      <c r="G16" s="26"/>
      <c r="H16" s="26"/>
      <c r="I16" s="27"/>
      <c r="J16" s="4"/>
      <c r="K16" s="4"/>
      <c r="L16" s="103">
        <v>27</v>
      </c>
      <c r="M16" s="142">
        <v>1328.0415088344801</v>
      </c>
      <c r="N16" s="142">
        <v>1475.9079310312782</v>
      </c>
      <c r="O16" s="149">
        <f t="shared" si="1"/>
        <v>0.89981324777252347</v>
      </c>
      <c r="P16" s="103"/>
      <c r="Q16" s="103"/>
    </row>
    <row r="17" spans="1:17" ht="15.6" x14ac:dyDescent="0.3">
      <c r="A17" s="103"/>
      <c r="B17" s="16" t="s">
        <v>36</v>
      </c>
      <c r="C17" s="17">
        <v>0.4</v>
      </c>
      <c r="D17" s="18">
        <v>26.49</v>
      </c>
      <c r="E17" s="18"/>
      <c r="F17" s="18">
        <v>21.026510456730769</v>
      </c>
      <c r="G17" s="18">
        <v>9.8784735279297031</v>
      </c>
      <c r="H17" s="18">
        <f>(C17*D17)+(C17*F17)</f>
        <v>19.006604182692307</v>
      </c>
      <c r="I17" s="18">
        <f>(C17*G17)</f>
        <v>3.9513894111718812</v>
      </c>
      <c r="J17" s="4"/>
      <c r="K17" s="4"/>
      <c r="L17" s="103">
        <v>28</v>
      </c>
      <c r="M17" s="142">
        <v>1297.5695088344801</v>
      </c>
      <c r="N17" s="142">
        <v>1475.9079310312782</v>
      </c>
      <c r="O17" s="149">
        <f t="shared" si="1"/>
        <v>0.8791669734627785</v>
      </c>
      <c r="P17" s="103"/>
      <c r="Q17" s="103"/>
    </row>
    <row r="18" spans="1:17" ht="15.6" x14ac:dyDescent="0.3">
      <c r="A18" s="103"/>
      <c r="B18" s="19" t="s">
        <v>37</v>
      </c>
      <c r="C18" s="20">
        <v>0.4</v>
      </c>
      <c r="D18" s="33"/>
      <c r="E18" s="33"/>
      <c r="F18" s="21">
        <v>9.6485405594405602</v>
      </c>
      <c r="G18" s="21">
        <v>11.30779940780098</v>
      </c>
      <c r="H18" s="21">
        <f>(C18*D18)+(C18*F18)</f>
        <v>3.8594162237762242</v>
      </c>
      <c r="I18" s="21">
        <f>(C18*G18)</f>
        <v>4.5231197631203921</v>
      </c>
      <c r="J18" s="4"/>
      <c r="K18" s="4"/>
      <c r="L18" s="103">
        <v>29</v>
      </c>
      <c r="M18" s="142">
        <v>1242.0975088344801</v>
      </c>
      <c r="N18" s="142">
        <v>1475.9079310312782</v>
      </c>
      <c r="O18" s="149">
        <f t="shared" si="1"/>
        <v>0.84158197318350003</v>
      </c>
      <c r="P18" s="103"/>
      <c r="Q18" s="103"/>
    </row>
    <row r="19" spans="1:17" ht="15.6" x14ac:dyDescent="0.3">
      <c r="A19" s="103"/>
      <c r="B19" s="19" t="s">
        <v>38</v>
      </c>
      <c r="C19" s="20"/>
      <c r="D19" s="33"/>
      <c r="E19" s="33">
        <v>83.6</v>
      </c>
      <c r="F19" s="21"/>
      <c r="G19" s="21"/>
      <c r="H19" s="21">
        <f>E19</f>
        <v>83.6</v>
      </c>
      <c r="I19" s="21">
        <f>(C19*G19)</f>
        <v>0</v>
      </c>
      <c r="J19" s="4"/>
      <c r="K19" s="4"/>
      <c r="L19" s="103">
        <v>30</v>
      </c>
      <c r="M19" s="142">
        <v>1186.6255088344799</v>
      </c>
      <c r="N19" s="142">
        <v>1475.9079310312782</v>
      </c>
      <c r="O19" s="149">
        <f t="shared" si="1"/>
        <v>0.80399697290422134</v>
      </c>
      <c r="P19" s="103"/>
      <c r="Q19" s="103"/>
    </row>
    <row r="20" spans="1:17" ht="15.6" x14ac:dyDescent="0.3">
      <c r="A20" s="103"/>
      <c r="B20" s="19" t="s">
        <v>39</v>
      </c>
      <c r="C20" s="20"/>
      <c r="D20" s="33"/>
      <c r="E20" s="33">
        <v>140.26</v>
      </c>
      <c r="F20" s="21"/>
      <c r="G20" s="21"/>
      <c r="H20" s="21">
        <f>E20</f>
        <v>140.26</v>
      </c>
      <c r="I20" s="21">
        <f>(C20*G20)</f>
        <v>0</v>
      </c>
      <c r="J20" s="4"/>
      <c r="K20" s="4"/>
      <c r="L20" s="103"/>
      <c r="M20" s="103"/>
      <c r="N20" s="103"/>
      <c r="O20" s="103"/>
      <c r="P20" s="103"/>
      <c r="Q20" s="103"/>
    </row>
    <row r="21" spans="1:17" ht="15.6" x14ac:dyDescent="0.3">
      <c r="A21" s="103"/>
      <c r="B21" s="22" t="s">
        <v>40</v>
      </c>
      <c r="C21" s="30"/>
      <c r="D21" s="31"/>
      <c r="E21" s="31">
        <v>10.32</v>
      </c>
      <c r="F21" s="23"/>
      <c r="G21" s="23"/>
      <c r="H21" s="21">
        <f>E21</f>
        <v>10.32</v>
      </c>
      <c r="I21" s="21">
        <f>(C21*G21)</f>
        <v>0</v>
      </c>
      <c r="J21" s="4"/>
      <c r="K21" s="4"/>
      <c r="L21" s="103"/>
      <c r="M21" s="103"/>
      <c r="N21" s="103"/>
      <c r="O21" s="103"/>
      <c r="P21" s="103"/>
      <c r="Q21" s="103"/>
    </row>
    <row r="22" spans="1:17" ht="15.6" x14ac:dyDescent="0.3">
      <c r="A22" s="103"/>
      <c r="B22" s="24" t="s">
        <v>4</v>
      </c>
      <c r="C22" s="25"/>
      <c r="D22" s="26"/>
      <c r="E22" s="26"/>
      <c r="F22" s="26"/>
      <c r="G22" s="26"/>
      <c r="H22" s="28">
        <f>SUM(H17:H21)</f>
        <v>257.04602040646853</v>
      </c>
      <c r="I22" s="27">
        <f>SUM(I17:I21)</f>
        <v>8.4745091742922725</v>
      </c>
      <c r="J22" s="4"/>
      <c r="K22" s="4"/>
      <c r="L22" s="103"/>
      <c r="M22" s="103"/>
      <c r="N22" s="103"/>
      <c r="O22" s="103"/>
      <c r="P22" s="103"/>
      <c r="Q22" s="103"/>
    </row>
    <row r="23" spans="1:17" ht="15.6" x14ac:dyDescent="0.3">
      <c r="A23" s="103"/>
      <c r="B23" s="7" t="s">
        <v>41</v>
      </c>
      <c r="C23" s="25"/>
      <c r="D23" s="26"/>
      <c r="E23" s="26"/>
      <c r="F23" s="26"/>
      <c r="G23" s="26"/>
      <c r="H23" s="26"/>
      <c r="I23" s="27"/>
      <c r="J23" s="4"/>
      <c r="K23" s="4"/>
      <c r="L23" s="103"/>
      <c r="M23" s="103"/>
      <c r="N23" s="103"/>
      <c r="O23" s="103"/>
      <c r="P23" s="103"/>
      <c r="Q23" s="103"/>
    </row>
    <row r="24" spans="1:17" ht="15.6" x14ac:dyDescent="0.3">
      <c r="A24" s="103"/>
      <c r="B24" s="34" t="s">
        <v>36</v>
      </c>
      <c r="C24" s="17">
        <v>0</v>
      </c>
      <c r="D24" s="18">
        <f>D13</f>
        <v>14.09</v>
      </c>
      <c r="E24" s="18"/>
      <c r="F24" s="18">
        <f>F17</f>
        <v>21.026510456730769</v>
      </c>
      <c r="G24" s="18">
        <f>G17</f>
        <v>9.8784735279297031</v>
      </c>
      <c r="H24" s="18">
        <f>(C24*D24)+(C24*G24)</f>
        <v>0</v>
      </c>
      <c r="I24" s="18">
        <f>(C24*G24)</f>
        <v>0</v>
      </c>
      <c r="J24" s="4" t="s">
        <v>27</v>
      </c>
      <c r="K24" s="4"/>
      <c r="L24" s="103"/>
      <c r="M24" s="103"/>
      <c r="N24" s="103"/>
      <c r="O24" s="103"/>
      <c r="P24" s="103"/>
      <c r="Q24" s="103"/>
    </row>
    <row r="25" spans="1:17" ht="15.6" x14ac:dyDescent="0.3">
      <c r="A25" s="103"/>
      <c r="B25" s="35" t="s">
        <v>37</v>
      </c>
      <c r="C25" s="20">
        <v>0</v>
      </c>
      <c r="D25" s="21"/>
      <c r="E25" s="21"/>
      <c r="F25" s="21">
        <f>F18</f>
        <v>9.6485405594405602</v>
      </c>
      <c r="G25" s="21">
        <f>G18</f>
        <v>11.30779940780098</v>
      </c>
      <c r="H25" s="21">
        <f>(C25*D25)+(C25*F25)</f>
        <v>0</v>
      </c>
      <c r="I25" s="21">
        <f>(C25*G25)</f>
        <v>0</v>
      </c>
      <c r="J25" s="4" t="s">
        <v>29</v>
      </c>
      <c r="K25" s="4"/>
      <c r="L25" s="103"/>
      <c r="M25" s="103"/>
      <c r="N25" s="103"/>
      <c r="O25" s="103"/>
      <c r="P25" s="103"/>
      <c r="Q25" s="103"/>
    </row>
    <row r="26" spans="1:17" ht="15.6" x14ac:dyDescent="0.3">
      <c r="A26" s="103"/>
      <c r="B26" s="36" t="s">
        <v>38</v>
      </c>
      <c r="C26" s="30"/>
      <c r="D26" s="23"/>
      <c r="E26" s="23">
        <f>(2/4)</f>
        <v>0.5</v>
      </c>
      <c r="F26" s="23"/>
      <c r="G26" s="23"/>
      <c r="H26" s="23">
        <f>E26</f>
        <v>0.5</v>
      </c>
      <c r="I26" s="23">
        <f>(C26*G26)</f>
        <v>0</v>
      </c>
      <c r="J26" s="4"/>
      <c r="K26" s="4"/>
      <c r="L26" s="103"/>
      <c r="M26" s="103"/>
      <c r="N26" s="103"/>
      <c r="O26" s="103"/>
      <c r="P26" s="103"/>
      <c r="Q26" s="103"/>
    </row>
    <row r="27" spans="1:17" ht="15.6" x14ac:dyDescent="0.3">
      <c r="A27" s="103"/>
      <c r="B27" s="7" t="s">
        <v>4</v>
      </c>
      <c r="C27" s="37"/>
      <c r="D27" s="26"/>
      <c r="E27" s="26"/>
      <c r="F27" s="26"/>
      <c r="G27" s="27"/>
      <c r="H27" s="28">
        <f>SUM(H24:H26)</f>
        <v>0.5</v>
      </c>
      <c r="I27" s="28">
        <f>SUM(I24:I26)</f>
        <v>0</v>
      </c>
      <c r="J27" s="4"/>
      <c r="K27" s="4"/>
      <c r="L27" s="103"/>
      <c r="M27" s="103"/>
      <c r="N27" s="103"/>
      <c r="O27" s="103"/>
      <c r="P27" s="103"/>
      <c r="Q27" s="103"/>
    </row>
    <row r="28" spans="1:17" ht="15.6" x14ac:dyDescent="0.3">
      <c r="A28" s="103"/>
      <c r="B28" s="7" t="s">
        <v>42</v>
      </c>
      <c r="C28" s="25"/>
      <c r="D28" s="26"/>
      <c r="E28" s="26"/>
      <c r="F28" s="26"/>
      <c r="G28" s="26"/>
      <c r="H28" s="26"/>
      <c r="I28" s="27"/>
      <c r="J28" s="4"/>
      <c r="K28" s="4"/>
      <c r="L28" s="103"/>
      <c r="M28" s="103"/>
      <c r="N28" s="103"/>
      <c r="O28" s="103"/>
      <c r="P28" s="103"/>
      <c r="Q28" s="103"/>
    </row>
    <row r="29" spans="1:17" ht="15.6" x14ac:dyDescent="0.3">
      <c r="A29" s="103"/>
      <c r="B29" s="16" t="s">
        <v>43</v>
      </c>
      <c r="C29" s="17">
        <v>0.8</v>
      </c>
      <c r="D29" s="18">
        <f>D17</f>
        <v>26.49</v>
      </c>
      <c r="E29" s="18"/>
      <c r="F29" s="18">
        <v>21.258254687499999</v>
      </c>
      <c r="G29" s="18">
        <v>2.0334779053453547</v>
      </c>
      <c r="H29" s="38">
        <f>(C29*D29)+(C29*F29)</f>
        <v>38.198603750000004</v>
      </c>
      <c r="I29" s="29">
        <f>(C29*G29)</f>
        <v>1.6267823242762838</v>
      </c>
      <c r="J29" s="4"/>
      <c r="K29" s="4"/>
      <c r="L29" s="103"/>
      <c r="M29" s="103"/>
      <c r="N29" s="103"/>
      <c r="O29" s="103"/>
      <c r="P29" s="103"/>
      <c r="Q29" s="103"/>
    </row>
    <row r="30" spans="1:17" ht="15.6" x14ac:dyDescent="0.3">
      <c r="A30" s="103"/>
      <c r="B30" s="19" t="s">
        <v>44</v>
      </c>
      <c r="C30" s="20">
        <v>0.8</v>
      </c>
      <c r="D30" s="21"/>
      <c r="E30" s="21"/>
      <c r="F30" s="21">
        <v>0.84090833333333326</v>
      </c>
      <c r="G30" s="21">
        <v>5.4738691606044858</v>
      </c>
      <c r="H30" s="39">
        <f>(C30*D30)+(C30*F30)</f>
        <v>0.67272666666666669</v>
      </c>
      <c r="I30" s="32">
        <f>(C30*G30)</f>
        <v>4.3790953284835892</v>
      </c>
      <c r="J30" s="4"/>
      <c r="K30" s="4"/>
      <c r="L30" s="103"/>
      <c r="M30" s="103"/>
      <c r="N30" s="103"/>
      <c r="O30" s="103"/>
      <c r="P30" s="103"/>
      <c r="Q30" s="103"/>
    </row>
    <row r="31" spans="1:17" ht="15.6" x14ac:dyDescent="0.3">
      <c r="A31" s="103"/>
      <c r="B31" s="22" t="s">
        <v>45</v>
      </c>
      <c r="C31" s="30"/>
      <c r="D31" s="23"/>
      <c r="E31" s="23">
        <v>10.87</v>
      </c>
      <c r="F31" s="23"/>
      <c r="G31" s="23"/>
      <c r="H31" s="40">
        <f>E31</f>
        <v>10.87</v>
      </c>
      <c r="I31" s="41">
        <f>(C31*G31)</f>
        <v>0</v>
      </c>
      <c r="J31" s="4"/>
      <c r="K31" s="4"/>
      <c r="L31" s="103"/>
      <c r="M31" s="103"/>
      <c r="N31" s="103"/>
      <c r="O31" s="103"/>
      <c r="P31" s="103"/>
      <c r="Q31" s="103"/>
    </row>
    <row r="32" spans="1:17" ht="15.6" x14ac:dyDescent="0.3">
      <c r="A32" s="103"/>
      <c r="B32" s="7" t="s">
        <v>4</v>
      </c>
      <c r="C32" s="37"/>
      <c r="D32" s="26"/>
      <c r="E32" s="26"/>
      <c r="F32" s="26"/>
      <c r="G32" s="27"/>
      <c r="H32" s="28">
        <f>SUM(H29:H31)</f>
        <v>49.741330416666671</v>
      </c>
      <c r="I32" s="27">
        <f>SUM(I29:I31)</f>
        <v>6.0058776527598727</v>
      </c>
      <c r="J32" s="4"/>
      <c r="K32" s="4"/>
      <c r="L32" s="103"/>
      <c r="M32" s="103"/>
      <c r="N32" s="103"/>
      <c r="O32" s="103"/>
      <c r="P32" s="103"/>
      <c r="Q32" s="103"/>
    </row>
    <row r="33" spans="1:17" ht="15.6" x14ac:dyDescent="0.3">
      <c r="A33" s="103"/>
      <c r="B33" s="7" t="s">
        <v>6</v>
      </c>
      <c r="C33" s="25"/>
      <c r="D33" s="26"/>
      <c r="E33" s="26"/>
      <c r="F33" s="26"/>
      <c r="G33" s="26"/>
      <c r="H33" s="26"/>
      <c r="I33" s="27"/>
      <c r="J33" s="4"/>
      <c r="K33" s="4"/>
      <c r="L33" s="103"/>
      <c r="M33" s="103"/>
      <c r="N33" s="103"/>
      <c r="O33" s="103"/>
      <c r="P33" s="103"/>
      <c r="Q33" s="103"/>
    </row>
    <row r="34" spans="1:17" ht="15.6" x14ac:dyDescent="0.3">
      <c r="A34" s="103"/>
      <c r="B34" s="16" t="s">
        <v>46</v>
      </c>
      <c r="C34" s="17">
        <v>0.15</v>
      </c>
      <c r="D34" s="18">
        <f>D29</f>
        <v>26.49</v>
      </c>
      <c r="E34" s="18"/>
      <c r="F34" s="18">
        <v>15.144425</v>
      </c>
      <c r="G34" s="18">
        <v>6.4185969257159483</v>
      </c>
      <c r="H34" s="18">
        <f>(C34*D34)+(C34*F34)</f>
        <v>6.2451637499999997</v>
      </c>
      <c r="I34" s="18">
        <f t="shared" ref="I34:I42" si="2">(C34*G34)</f>
        <v>0.96278953885739216</v>
      </c>
      <c r="J34" s="4" t="s">
        <v>47</v>
      </c>
      <c r="K34" s="4"/>
      <c r="L34" s="103"/>
      <c r="M34" s="103"/>
      <c r="N34" s="103"/>
      <c r="O34" s="103"/>
      <c r="P34" s="103"/>
      <c r="Q34" s="103"/>
    </row>
    <row r="35" spans="1:17" ht="15.6" x14ac:dyDescent="0.3">
      <c r="A35" s="103"/>
      <c r="B35" s="19" t="s">
        <v>48</v>
      </c>
      <c r="C35" s="20">
        <v>0.15</v>
      </c>
      <c r="D35" s="21"/>
      <c r="E35" s="21"/>
      <c r="F35" s="21">
        <v>0.89632857142857125</v>
      </c>
      <c r="G35" s="21">
        <v>3.3216905146525328</v>
      </c>
      <c r="H35" s="21">
        <f>(C35*D35)+(C35*F35)</f>
        <v>0.13444928571428569</v>
      </c>
      <c r="I35" s="21">
        <f t="shared" si="2"/>
        <v>0.49825357719787988</v>
      </c>
      <c r="J35" s="4" t="s">
        <v>49</v>
      </c>
      <c r="K35" s="4"/>
      <c r="L35" s="103"/>
      <c r="M35" s="103"/>
      <c r="N35" s="103"/>
      <c r="O35" s="103"/>
      <c r="P35" s="103"/>
      <c r="Q35" s="103"/>
    </row>
    <row r="36" spans="1:17" ht="15.6" x14ac:dyDescent="0.3">
      <c r="A36" s="103"/>
      <c r="B36" s="19" t="s">
        <v>50</v>
      </c>
      <c r="C36" s="20">
        <f>0.15</f>
        <v>0.15</v>
      </c>
      <c r="D36" s="21">
        <f>D34</f>
        <v>26.49</v>
      </c>
      <c r="E36" s="21"/>
      <c r="F36" s="21">
        <v>15.144425</v>
      </c>
      <c r="G36" s="21">
        <v>6.4185969257159483</v>
      </c>
      <c r="H36" s="21">
        <f>(C36*D36)+(C36*F36)</f>
        <v>6.2451637499999997</v>
      </c>
      <c r="I36" s="21">
        <f t="shared" si="2"/>
        <v>0.96278953885739216</v>
      </c>
      <c r="J36" s="4"/>
      <c r="K36" s="4"/>
      <c r="L36" s="103"/>
      <c r="M36" s="103"/>
      <c r="N36" s="103"/>
      <c r="O36" s="103"/>
      <c r="P36" s="103"/>
      <c r="Q36" s="103"/>
    </row>
    <row r="37" spans="1:17" ht="15.6" x14ac:dyDescent="0.3">
      <c r="A37" s="103"/>
      <c r="B37" s="19" t="s">
        <v>48</v>
      </c>
      <c r="C37" s="20">
        <v>0.15</v>
      </c>
      <c r="D37" s="21"/>
      <c r="E37" s="21"/>
      <c r="F37" s="21">
        <v>0.89632857142857125</v>
      </c>
      <c r="G37" s="21">
        <v>3.3216905146525328</v>
      </c>
      <c r="H37" s="21">
        <f>(C37*D37)+(C37*F37)</f>
        <v>0.13444928571428569</v>
      </c>
      <c r="I37" s="21">
        <f t="shared" si="2"/>
        <v>0.49825357719787988</v>
      </c>
      <c r="J37" s="4"/>
      <c r="K37" s="4"/>
      <c r="L37" s="103"/>
      <c r="M37" s="103"/>
      <c r="N37" s="103"/>
      <c r="O37" s="103"/>
      <c r="P37" s="103"/>
      <c r="Q37" s="103"/>
    </row>
    <row r="38" spans="1:17" ht="15.6" x14ac:dyDescent="0.3">
      <c r="A38" s="103"/>
      <c r="B38" s="143" t="s">
        <v>51</v>
      </c>
      <c r="C38" s="20"/>
      <c r="D38" s="21"/>
      <c r="E38" s="21">
        <f>63.7/1.25</f>
        <v>50.96</v>
      </c>
      <c r="F38" s="21"/>
      <c r="G38" s="21"/>
      <c r="H38" s="21">
        <f>E38</f>
        <v>50.96</v>
      </c>
      <c r="I38" s="21">
        <f t="shared" si="2"/>
        <v>0</v>
      </c>
      <c r="J38" s="4"/>
      <c r="K38" s="4"/>
      <c r="L38" s="103"/>
      <c r="M38" s="103"/>
      <c r="N38" s="103"/>
      <c r="O38" s="103"/>
      <c r="P38" s="103"/>
      <c r="Q38" s="103"/>
    </row>
    <row r="39" spans="1:17" ht="15.6" x14ac:dyDescent="0.3">
      <c r="A39" s="103"/>
      <c r="B39" s="143" t="s">
        <v>52</v>
      </c>
      <c r="C39" s="20"/>
      <c r="D39" s="21"/>
      <c r="E39" s="21">
        <f>20/1.25</f>
        <v>16</v>
      </c>
      <c r="F39" s="21"/>
      <c r="G39" s="21"/>
      <c r="H39" s="21">
        <f>E39</f>
        <v>16</v>
      </c>
      <c r="I39" s="21">
        <f t="shared" si="2"/>
        <v>0</v>
      </c>
      <c r="J39" s="4"/>
      <c r="K39" s="4"/>
      <c r="L39" s="103"/>
      <c r="M39" s="103"/>
      <c r="N39" s="103"/>
      <c r="O39" s="103"/>
      <c r="P39" s="103"/>
      <c r="Q39" s="103"/>
    </row>
    <row r="40" spans="1:17" ht="15.6" x14ac:dyDescent="0.3">
      <c r="A40" s="103"/>
      <c r="B40" s="19" t="s">
        <v>53</v>
      </c>
      <c r="C40" s="20">
        <f>0.15*1/5</f>
        <v>0.03</v>
      </c>
      <c r="D40" s="21">
        <f>D36</f>
        <v>26.49</v>
      </c>
      <c r="E40" s="21"/>
      <c r="F40" s="21">
        <v>15.144425</v>
      </c>
      <c r="G40" s="21">
        <v>6.4185969257159483</v>
      </c>
      <c r="H40" s="21">
        <f>(C40*D40)+(C40*F40)</f>
        <v>1.24903275</v>
      </c>
      <c r="I40" s="21">
        <f t="shared" si="2"/>
        <v>0.19255790777147844</v>
      </c>
      <c r="J40" s="4"/>
      <c r="K40" s="4"/>
      <c r="L40" s="103"/>
      <c r="M40" s="103"/>
      <c r="N40" s="103"/>
      <c r="O40" s="103"/>
      <c r="P40" s="103"/>
      <c r="Q40" s="103"/>
    </row>
    <row r="41" spans="1:17" ht="15.6" x14ac:dyDescent="0.3">
      <c r="A41" s="103"/>
      <c r="B41" s="19" t="s">
        <v>48</v>
      </c>
      <c r="C41" s="20">
        <f>0.15/5</f>
        <v>0.03</v>
      </c>
      <c r="D41" s="21"/>
      <c r="E41" s="21"/>
      <c r="F41" s="21">
        <v>0.89632857142857125</v>
      </c>
      <c r="G41" s="21">
        <v>3.3216905146525328</v>
      </c>
      <c r="H41" s="21">
        <f>(C41*D41)+(C41*F41)</f>
        <v>2.6889857142857135E-2</v>
      </c>
      <c r="I41" s="21">
        <f t="shared" si="2"/>
        <v>9.9650715439575988E-2</v>
      </c>
      <c r="J41" s="4"/>
      <c r="K41" s="4"/>
      <c r="L41" s="103"/>
      <c r="M41" s="103"/>
      <c r="N41" s="103"/>
      <c r="O41" s="103"/>
      <c r="P41" s="103"/>
      <c r="Q41" s="103"/>
    </row>
    <row r="42" spans="1:17" ht="15.6" x14ac:dyDescent="0.3">
      <c r="A42" s="103"/>
      <c r="B42" s="144" t="s">
        <v>54</v>
      </c>
      <c r="C42" s="30"/>
      <c r="D42" s="23"/>
      <c r="E42" s="23">
        <f>10/1.25</f>
        <v>8</v>
      </c>
      <c r="F42" s="23"/>
      <c r="G42" s="23"/>
      <c r="H42" s="23">
        <f>E42</f>
        <v>8</v>
      </c>
      <c r="I42" s="23">
        <f t="shared" si="2"/>
        <v>0</v>
      </c>
      <c r="J42" s="4"/>
      <c r="K42" s="4"/>
      <c r="L42" s="103"/>
      <c r="M42" s="103"/>
      <c r="N42" s="103"/>
      <c r="O42" s="103"/>
      <c r="P42" s="103"/>
      <c r="Q42" s="103"/>
    </row>
    <row r="43" spans="1:17" ht="15.6" x14ac:dyDescent="0.3">
      <c r="A43" s="103"/>
      <c r="B43" s="7" t="s">
        <v>4</v>
      </c>
      <c r="C43" s="37"/>
      <c r="D43" s="26"/>
      <c r="E43" s="26"/>
      <c r="F43" s="26"/>
      <c r="G43" s="26"/>
      <c r="H43" s="28">
        <f>SUM(H34:H42)</f>
        <v>88.995148678571439</v>
      </c>
      <c r="I43" s="27">
        <f>SUM(I34:I42)</f>
        <v>3.2142948553215986</v>
      </c>
      <c r="J43" s="4"/>
      <c r="K43" s="4"/>
      <c r="L43" s="103"/>
      <c r="M43" s="103"/>
      <c r="N43" s="103"/>
      <c r="O43" s="103"/>
      <c r="P43" s="103"/>
      <c r="Q43" s="103"/>
    </row>
    <row r="44" spans="1:17" ht="15.6" x14ac:dyDescent="0.3">
      <c r="A44" s="103"/>
      <c r="B44" s="24" t="s">
        <v>55</v>
      </c>
      <c r="C44" s="17"/>
      <c r="D44" s="18"/>
      <c r="E44" s="18">
        <v>18.150000000000002</v>
      </c>
      <c r="F44" s="18"/>
      <c r="G44" s="18"/>
      <c r="H44" s="18">
        <f>E44</f>
        <v>18.150000000000002</v>
      </c>
      <c r="I44" s="18">
        <v>0</v>
      </c>
      <c r="J44" s="4"/>
      <c r="K44" s="4"/>
      <c r="L44" s="103"/>
      <c r="M44" s="103"/>
      <c r="N44" s="103"/>
      <c r="O44" s="103"/>
      <c r="P44" s="103"/>
      <c r="Q44" s="103"/>
    </row>
    <row r="45" spans="1:17" ht="15.6" x14ac:dyDescent="0.3">
      <c r="A45" s="103"/>
      <c r="B45" s="24" t="s">
        <v>56</v>
      </c>
      <c r="C45" s="20"/>
      <c r="D45" s="21"/>
      <c r="E45" s="21">
        <v>25</v>
      </c>
      <c r="F45" s="21"/>
      <c r="G45" s="21"/>
      <c r="H45" s="21">
        <f>E45</f>
        <v>25</v>
      </c>
      <c r="I45" s="21">
        <v>0</v>
      </c>
      <c r="J45" s="4"/>
      <c r="K45" s="4"/>
      <c r="L45" s="103"/>
      <c r="M45" s="103"/>
      <c r="N45" s="103"/>
      <c r="O45" s="103"/>
      <c r="P45" s="103"/>
      <c r="Q45" s="103"/>
    </row>
    <row r="46" spans="1:17" ht="15.6" x14ac:dyDescent="0.3">
      <c r="A46" s="103"/>
      <c r="B46" s="24" t="s">
        <v>57</v>
      </c>
      <c r="C46" s="30"/>
      <c r="D46" s="23"/>
      <c r="E46" s="23"/>
      <c r="F46" s="23">
        <v>20</v>
      </c>
      <c r="G46" s="23">
        <v>4</v>
      </c>
      <c r="H46" s="23">
        <f>F46</f>
        <v>20</v>
      </c>
      <c r="I46" s="23">
        <f>G46</f>
        <v>4</v>
      </c>
      <c r="J46" s="4"/>
      <c r="K46" s="4"/>
      <c r="L46" s="103"/>
      <c r="M46" s="103"/>
      <c r="N46" s="103"/>
      <c r="O46" s="103"/>
      <c r="P46" s="103"/>
      <c r="Q46" s="103"/>
    </row>
    <row r="47" spans="1:17" ht="15.6" x14ac:dyDescent="0.3">
      <c r="A47" s="103"/>
      <c r="B47" s="7"/>
      <c r="C47" s="25"/>
      <c r="D47" s="26"/>
      <c r="E47" s="26"/>
      <c r="F47" s="26"/>
      <c r="G47" s="26"/>
      <c r="H47" s="26"/>
      <c r="I47" s="27"/>
      <c r="J47" s="4"/>
      <c r="K47" s="4"/>
      <c r="L47" s="103"/>
      <c r="M47" s="103"/>
      <c r="N47" s="103"/>
      <c r="O47" s="103"/>
      <c r="P47" s="103"/>
      <c r="Q47" s="103"/>
    </row>
    <row r="48" spans="1:17" ht="15.6" x14ac:dyDescent="0.3">
      <c r="A48" s="103"/>
      <c r="B48" s="7" t="s">
        <v>58</v>
      </c>
      <c r="C48" s="37"/>
      <c r="D48" s="26"/>
      <c r="E48" s="26"/>
      <c r="F48" s="26"/>
      <c r="G48" s="26"/>
      <c r="H48" s="28">
        <f>SUM(H46+H45+H44+H43+H32+H27+H22+H15+H11)</f>
        <v>576.65818555397345</v>
      </c>
      <c r="I48" s="28">
        <f>SUM(I46+I45+I44+I43+I32+I27+I22+I15+I11)</f>
        <v>49.289713416856245</v>
      </c>
      <c r="J48" s="4"/>
      <c r="K48" s="4"/>
      <c r="L48" s="103"/>
      <c r="M48" s="103"/>
      <c r="N48" s="103"/>
      <c r="O48" s="103"/>
      <c r="P48" s="103"/>
      <c r="Q48" s="103"/>
    </row>
    <row r="49" spans="1:17" ht="15.6" x14ac:dyDescent="0.3">
      <c r="A49" s="103"/>
      <c r="B49" s="42"/>
      <c r="C49" s="25"/>
      <c r="D49" s="26"/>
      <c r="E49" s="26"/>
      <c r="F49" s="26"/>
      <c r="G49" s="26"/>
      <c r="H49" s="26"/>
      <c r="I49" s="27"/>
      <c r="J49" s="4"/>
      <c r="K49" s="4"/>
      <c r="L49" s="103"/>
      <c r="M49" s="103"/>
      <c r="N49" s="103"/>
      <c r="O49" s="103"/>
      <c r="P49" s="103"/>
      <c r="Q49" s="103"/>
    </row>
    <row r="50" spans="1:17" ht="15.6" x14ac:dyDescent="0.3">
      <c r="A50" s="103"/>
      <c r="B50" s="24" t="s">
        <v>59</v>
      </c>
      <c r="C50" s="25"/>
      <c r="D50" s="26"/>
      <c r="E50" s="26"/>
      <c r="F50" s="26"/>
      <c r="G50" s="26"/>
      <c r="H50" s="26"/>
      <c r="I50" s="27"/>
      <c r="J50" s="4"/>
      <c r="K50" s="4"/>
      <c r="L50" s="103"/>
      <c r="M50" s="103"/>
      <c r="N50" s="103"/>
      <c r="O50" s="103"/>
      <c r="P50" s="103"/>
      <c r="Q50" s="103"/>
    </row>
    <row r="51" spans="1:17" ht="15.6" x14ac:dyDescent="0.3">
      <c r="A51" s="103"/>
      <c r="B51" s="34" t="s">
        <v>60</v>
      </c>
      <c r="C51" s="17">
        <v>0.2</v>
      </c>
      <c r="D51" s="18">
        <f>D40</f>
        <v>26.49</v>
      </c>
      <c r="E51" s="18"/>
      <c r="F51" s="18">
        <v>21.026510456730769</v>
      </c>
      <c r="G51" s="18">
        <v>9.8784735279297031</v>
      </c>
      <c r="H51" s="18">
        <f>(C51*D51)+(C51*F51)</f>
        <v>9.5033020913461534</v>
      </c>
      <c r="I51" s="29">
        <f>(C51*G51)</f>
        <v>1.9756947055859406</v>
      </c>
      <c r="J51" s="4"/>
      <c r="K51" s="4"/>
      <c r="L51" s="103"/>
      <c r="M51" s="103"/>
      <c r="N51" s="103"/>
      <c r="O51" s="103"/>
      <c r="P51" s="103"/>
      <c r="Q51" s="103"/>
    </row>
    <row r="52" spans="1:17" ht="15.6" x14ac:dyDescent="0.3">
      <c r="A52" s="103"/>
      <c r="B52" s="35" t="s">
        <v>61</v>
      </c>
      <c r="C52" s="20">
        <v>0.2</v>
      </c>
      <c r="D52" s="21"/>
      <c r="E52" s="21"/>
      <c r="F52" s="21">
        <v>9.6485405594405602</v>
      </c>
      <c r="G52" s="21">
        <v>11.30779940780098</v>
      </c>
      <c r="H52" s="21">
        <f>(C52*D52)+(C52*F52)</f>
        <v>1.9297081118881121</v>
      </c>
      <c r="I52" s="32">
        <f>(C52*G52)</f>
        <v>2.2615598815601961</v>
      </c>
      <c r="J52" s="4"/>
      <c r="K52" s="4"/>
      <c r="L52" s="103"/>
      <c r="M52" s="103"/>
      <c r="N52" s="103"/>
      <c r="O52" s="103"/>
      <c r="P52" s="103"/>
      <c r="Q52" s="103"/>
    </row>
    <row r="53" spans="1:17" ht="15.6" x14ac:dyDescent="0.3">
      <c r="A53" s="103"/>
      <c r="B53" s="36" t="s">
        <v>62</v>
      </c>
      <c r="C53" s="30"/>
      <c r="D53" s="23"/>
      <c r="E53" s="23">
        <v>4.2</v>
      </c>
      <c r="F53" s="23"/>
      <c r="G53" s="23"/>
      <c r="H53" s="23">
        <f>E53</f>
        <v>4.2</v>
      </c>
      <c r="I53" s="41">
        <f>(C53*G53)</f>
        <v>0</v>
      </c>
      <c r="J53" s="4"/>
      <c r="K53" s="4"/>
      <c r="L53" s="103"/>
      <c r="M53" s="103"/>
      <c r="N53" s="103"/>
      <c r="O53" s="103"/>
      <c r="P53" s="103"/>
      <c r="Q53" s="103"/>
    </row>
    <row r="54" spans="1:17" ht="15.6" x14ac:dyDescent="0.3">
      <c r="A54" s="103"/>
      <c r="B54" s="145" t="s">
        <v>63</v>
      </c>
      <c r="C54" s="43">
        <f>(((30/60)*136)/60)</f>
        <v>1.1333333333333333</v>
      </c>
      <c r="D54" s="18">
        <v>33.770000000000003</v>
      </c>
      <c r="E54" s="18"/>
      <c r="F54" s="18">
        <v>40.967777777777776</v>
      </c>
      <c r="G54" s="18">
        <v>30.313843135007136</v>
      </c>
      <c r="H54" s="18">
        <f t="shared" ref="H54:H59" si="3">(C54*D54)+(C54*F54)</f>
        <v>84.702814814814815</v>
      </c>
      <c r="I54" s="18">
        <f>(C54*G54)</f>
        <v>34.355688886341419</v>
      </c>
      <c r="J54" s="4" t="s">
        <v>64</v>
      </c>
      <c r="K54" s="4"/>
      <c r="L54" s="103"/>
      <c r="M54" s="103"/>
      <c r="N54" s="103"/>
      <c r="O54" s="103"/>
      <c r="P54" s="103"/>
      <c r="Q54" s="103"/>
    </row>
    <row r="55" spans="1:17" ht="15.6" x14ac:dyDescent="0.3">
      <c r="A55" s="103"/>
      <c r="B55" s="146" t="s">
        <v>65</v>
      </c>
      <c r="C55" s="44">
        <f>(((30/60)*136)/60)</f>
        <v>1.1333333333333333</v>
      </c>
      <c r="D55" s="21">
        <f>D51</f>
        <v>26.49</v>
      </c>
      <c r="E55" s="21"/>
      <c r="F55" s="21"/>
      <c r="G55" s="21"/>
      <c r="H55" s="21">
        <f t="shared" si="3"/>
        <v>30.021999999999998</v>
      </c>
      <c r="I55" s="21">
        <f t="shared" ref="I55:I62" si="4">(C55*G55)</f>
        <v>0</v>
      </c>
      <c r="J55" s="4" t="s">
        <v>66</v>
      </c>
      <c r="K55" s="4"/>
      <c r="L55" s="103"/>
      <c r="M55" s="103"/>
      <c r="N55" s="103"/>
      <c r="O55" s="103"/>
      <c r="P55" s="103"/>
      <c r="Q55" s="103"/>
    </row>
    <row r="56" spans="1:17" ht="15.6" x14ac:dyDescent="0.3">
      <c r="A56" s="103"/>
      <c r="B56" s="146" t="s">
        <v>36</v>
      </c>
      <c r="C56" s="44">
        <f>1.1</f>
        <v>1.1000000000000001</v>
      </c>
      <c r="D56" s="21">
        <f>D24</f>
        <v>14.09</v>
      </c>
      <c r="E56" s="21"/>
      <c r="F56" s="21">
        <v>21.026510456730769</v>
      </c>
      <c r="G56" s="21">
        <v>9.8784735279297031</v>
      </c>
      <c r="H56" s="21">
        <f t="shared" si="3"/>
        <v>38.628161502403849</v>
      </c>
      <c r="I56" s="21">
        <f t="shared" si="4"/>
        <v>10.866320880722673</v>
      </c>
      <c r="J56" s="4"/>
      <c r="K56" s="4"/>
      <c r="L56" s="103"/>
      <c r="M56" s="103"/>
      <c r="N56" s="103"/>
      <c r="O56" s="103"/>
      <c r="P56" s="103"/>
      <c r="Q56" s="103"/>
    </row>
    <row r="57" spans="1:17" ht="15.6" x14ac:dyDescent="0.3">
      <c r="A57" s="103"/>
      <c r="B57" s="146" t="s">
        <v>67</v>
      </c>
      <c r="C57" s="44">
        <f>1.1</f>
        <v>1.1000000000000001</v>
      </c>
      <c r="D57" s="21">
        <f>D56</f>
        <v>14.09</v>
      </c>
      <c r="E57" s="21"/>
      <c r="F57" s="21">
        <v>15.144425</v>
      </c>
      <c r="G57" s="21">
        <v>6.4185969257159483</v>
      </c>
      <c r="H57" s="21">
        <f t="shared" si="3"/>
        <v>32.157867500000002</v>
      </c>
      <c r="I57" s="21">
        <f t="shared" si="4"/>
        <v>7.0604566182875441</v>
      </c>
      <c r="J57" s="4"/>
      <c r="K57" s="4"/>
      <c r="L57" s="103"/>
      <c r="M57" s="103"/>
      <c r="N57" s="103"/>
      <c r="O57" s="103"/>
      <c r="P57" s="103"/>
      <c r="Q57" s="103"/>
    </row>
    <row r="58" spans="1:17" ht="15.6" x14ac:dyDescent="0.3">
      <c r="A58" s="103"/>
      <c r="B58" s="146" t="s">
        <v>68</v>
      </c>
      <c r="C58" s="44">
        <f>1.1</f>
        <v>1.1000000000000001</v>
      </c>
      <c r="D58" s="21">
        <f>D57</f>
        <v>14.09</v>
      </c>
      <c r="E58" s="21"/>
      <c r="F58" s="21">
        <v>21.258254687499999</v>
      </c>
      <c r="G58" s="21">
        <v>2.0334779053453547</v>
      </c>
      <c r="H58" s="21">
        <f t="shared" si="3"/>
        <v>38.883080156250003</v>
      </c>
      <c r="I58" s="21">
        <f t="shared" si="4"/>
        <v>2.2368256958798902</v>
      </c>
      <c r="J58" s="4"/>
      <c r="K58" s="4"/>
      <c r="L58" s="103"/>
      <c r="M58" s="103"/>
      <c r="N58" s="103"/>
      <c r="O58" s="103"/>
      <c r="P58" s="103"/>
      <c r="Q58" s="103"/>
    </row>
    <row r="59" spans="1:17" ht="15.6" x14ac:dyDescent="0.3">
      <c r="A59" s="103"/>
      <c r="B59" s="146" t="s">
        <v>69</v>
      </c>
      <c r="C59" s="45">
        <f>2</f>
        <v>2</v>
      </c>
      <c r="D59" s="21">
        <f>12.25</f>
        <v>12.25</v>
      </c>
      <c r="E59" s="21"/>
      <c r="F59" s="21"/>
      <c r="G59" s="21"/>
      <c r="H59" s="21">
        <f t="shared" si="3"/>
        <v>24.5</v>
      </c>
      <c r="I59" s="21">
        <f t="shared" si="4"/>
        <v>0</v>
      </c>
      <c r="J59" s="4"/>
      <c r="K59" s="4"/>
      <c r="L59" s="103"/>
      <c r="M59" s="103"/>
      <c r="N59" s="103"/>
      <c r="O59" s="103"/>
      <c r="P59" s="103"/>
      <c r="Q59" s="103"/>
    </row>
    <row r="60" spans="1:17" ht="15.6" x14ac:dyDescent="0.3">
      <c r="A60" s="103"/>
      <c r="B60" s="146" t="s">
        <v>70</v>
      </c>
      <c r="C60" s="45"/>
      <c r="D60" s="21"/>
      <c r="E60" s="21"/>
      <c r="F60" s="21"/>
      <c r="G60" s="21"/>
      <c r="H60" s="21">
        <f>(0.016*I2)</f>
        <v>139.20000000000002</v>
      </c>
      <c r="I60" s="21">
        <f t="shared" si="4"/>
        <v>0</v>
      </c>
      <c r="J60" s="4"/>
      <c r="K60" s="4"/>
      <c r="L60" s="103"/>
      <c r="M60" s="103"/>
      <c r="N60" s="103"/>
      <c r="O60" s="103"/>
      <c r="P60" s="103"/>
      <c r="Q60" s="103"/>
    </row>
    <row r="61" spans="1:17" ht="15.6" x14ac:dyDescent="0.3">
      <c r="A61" s="103"/>
      <c r="B61" s="146" t="s">
        <v>71</v>
      </c>
      <c r="C61" s="45"/>
      <c r="D61" s="45"/>
      <c r="E61" s="21"/>
      <c r="F61" s="21"/>
      <c r="G61" s="21"/>
      <c r="H61" s="21">
        <f>(0.006*I2)</f>
        <v>52.2</v>
      </c>
      <c r="I61" s="21">
        <f t="shared" si="4"/>
        <v>0</v>
      </c>
      <c r="J61" s="4"/>
      <c r="K61" s="4"/>
      <c r="L61" s="103"/>
      <c r="M61" s="103"/>
      <c r="N61" s="103"/>
      <c r="O61" s="103"/>
      <c r="P61" s="103"/>
      <c r="Q61" s="103"/>
    </row>
    <row r="62" spans="1:17" ht="15.6" x14ac:dyDescent="0.3">
      <c r="A62" s="103"/>
      <c r="B62" s="146" t="s">
        <v>72</v>
      </c>
      <c r="C62" s="45"/>
      <c r="D62" s="45"/>
      <c r="E62" s="21"/>
      <c r="F62" s="21"/>
      <c r="G62" s="21"/>
      <c r="H62" s="21">
        <f>(0.005*I2)</f>
        <v>43.5</v>
      </c>
      <c r="I62" s="21">
        <f t="shared" si="4"/>
        <v>0</v>
      </c>
      <c r="J62" s="4"/>
      <c r="K62" s="4"/>
      <c r="L62" s="103"/>
      <c r="M62" s="103"/>
      <c r="N62" s="103"/>
      <c r="O62" s="103"/>
      <c r="P62" s="103"/>
      <c r="Q62" s="103"/>
    </row>
    <row r="63" spans="1:17" ht="15.6" x14ac:dyDescent="0.3">
      <c r="A63" s="103"/>
      <c r="B63" s="47" t="s">
        <v>4</v>
      </c>
      <c r="C63" s="48"/>
      <c r="D63" s="49"/>
      <c r="E63" s="26"/>
      <c r="F63" s="26"/>
      <c r="G63" s="27"/>
      <c r="H63" s="28">
        <f>SUM(H51:H62)</f>
        <v>499.42693417670301</v>
      </c>
      <c r="I63" s="28">
        <f>SUM(I51:I62)</f>
        <v>58.756546668377666</v>
      </c>
      <c r="J63" s="4"/>
      <c r="K63" s="4"/>
      <c r="L63" s="103"/>
      <c r="M63" s="103"/>
      <c r="N63" s="103"/>
      <c r="O63" s="103"/>
      <c r="P63" s="103"/>
      <c r="Q63" s="103"/>
    </row>
    <row r="64" spans="1:17" ht="15.6" x14ac:dyDescent="0.3">
      <c r="A64" s="103"/>
      <c r="B64" s="147" t="s">
        <v>73</v>
      </c>
      <c r="C64" s="148">
        <f>4</f>
        <v>4</v>
      </c>
      <c r="D64" s="51">
        <f>D54</f>
        <v>33.770000000000003</v>
      </c>
      <c r="E64" s="28"/>
      <c r="F64" s="28"/>
      <c r="G64" s="28"/>
      <c r="H64" s="28">
        <f>(C64*D64)</f>
        <v>135.08000000000001</v>
      </c>
      <c r="I64" s="28">
        <v>0</v>
      </c>
      <c r="J64" s="4"/>
      <c r="K64" s="4"/>
      <c r="L64" s="103"/>
      <c r="M64" s="103"/>
      <c r="N64" s="103"/>
      <c r="O64" s="103"/>
      <c r="P64" s="103"/>
      <c r="Q64" s="103"/>
    </row>
    <row r="65" spans="1:17" ht="15.6" x14ac:dyDescent="0.3">
      <c r="A65" s="103"/>
      <c r="B65" s="24" t="s">
        <v>74</v>
      </c>
      <c r="C65" s="50"/>
      <c r="D65" s="51"/>
      <c r="E65" s="28"/>
      <c r="F65" s="28"/>
      <c r="G65" s="28"/>
      <c r="H65" s="28">
        <f>(((8/12)*H48)*0.08)+((2/12)*H63*0.08)</f>
        <v>37.414129018567955</v>
      </c>
      <c r="I65" s="28">
        <v>0</v>
      </c>
      <c r="J65" s="4"/>
      <c r="K65" s="4"/>
      <c r="L65" s="103"/>
      <c r="M65" s="103"/>
      <c r="N65" s="103"/>
      <c r="O65" s="103"/>
      <c r="P65" s="103"/>
      <c r="Q65" s="103"/>
    </row>
    <row r="66" spans="1:17" ht="15.6" x14ac:dyDescent="0.3">
      <c r="A66" s="103"/>
      <c r="B66" s="24" t="s">
        <v>75</v>
      </c>
      <c r="C66" s="50"/>
      <c r="D66" s="50"/>
      <c r="E66" s="28"/>
      <c r="F66" s="28"/>
      <c r="G66" s="28"/>
      <c r="H66" s="28">
        <v>30</v>
      </c>
      <c r="I66" s="28">
        <v>0</v>
      </c>
      <c r="J66" s="4"/>
      <c r="K66" s="4"/>
      <c r="L66" s="103"/>
      <c r="M66" s="103"/>
      <c r="N66" s="103"/>
      <c r="O66" s="103"/>
      <c r="P66" s="103"/>
      <c r="Q66" s="103"/>
    </row>
    <row r="67" spans="1:17" ht="15.6" x14ac:dyDescent="0.3">
      <c r="A67" s="103"/>
      <c r="B67" s="7" t="s">
        <v>76</v>
      </c>
      <c r="C67" s="48"/>
      <c r="D67" s="49"/>
      <c r="E67" s="26"/>
      <c r="F67" s="26"/>
      <c r="G67" s="27"/>
      <c r="H67" s="28">
        <f>SUM(H66+H65+H64+H63+H48)</f>
        <v>1278.5792487492445</v>
      </c>
      <c r="I67" s="27">
        <f>SUM(I66+I65+I64+I63+I48)</f>
        <v>108.04626008523391</v>
      </c>
      <c r="J67" s="4"/>
      <c r="K67" s="4"/>
      <c r="L67" s="103"/>
      <c r="M67" s="103"/>
      <c r="N67" s="103"/>
      <c r="O67" s="103"/>
      <c r="P67" s="103"/>
      <c r="Q67" s="103"/>
    </row>
    <row r="68" spans="1:17" ht="15.6" x14ac:dyDescent="0.3">
      <c r="A68" s="103"/>
      <c r="B68" s="13" t="s">
        <v>77</v>
      </c>
      <c r="C68" s="52"/>
      <c r="D68" s="53"/>
      <c r="E68" s="54"/>
      <c r="F68" s="54"/>
      <c r="G68" s="41"/>
      <c r="H68" s="83">
        <f>SUM(H67:I67)</f>
        <v>1386.6255088344783</v>
      </c>
      <c r="I68" s="41"/>
      <c r="J68" s="4"/>
      <c r="K68" s="4"/>
      <c r="L68" s="103"/>
      <c r="M68" s="103"/>
      <c r="N68" s="103"/>
      <c r="O68" s="103"/>
      <c r="P68" s="103"/>
      <c r="Q68" s="103"/>
    </row>
    <row r="69" spans="1:17" ht="15.6" x14ac:dyDescent="0.3">
      <c r="A69" s="103"/>
      <c r="B69" s="4"/>
      <c r="C69" s="4"/>
      <c r="D69" s="4"/>
      <c r="E69" s="4"/>
      <c r="F69" s="4"/>
      <c r="G69" s="4"/>
      <c r="H69" s="4"/>
      <c r="I69" s="4"/>
      <c r="J69" s="4"/>
      <c r="K69" s="4"/>
      <c r="L69" s="103"/>
      <c r="M69" s="103"/>
      <c r="N69" s="103"/>
      <c r="O69" s="103"/>
      <c r="P69" s="103"/>
      <c r="Q69" s="103"/>
    </row>
    <row r="70" spans="1:17" ht="15.6" x14ac:dyDescent="0.3">
      <c r="A70" s="103"/>
      <c r="B70" s="4"/>
      <c r="C70" s="4"/>
      <c r="D70" s="4"/>
      <c r="E70" s="4"/>
      <c r="F70" s="4"/>
      <c r="G70" s="4"/>
      <c r="H70" s="4"/>
      <c r="I70" s="4"/>
      <c r="J70" s="4"/>
      <c r="K70" s="4"/>
      <c r="L70" s="103"/>
      <c r="M70" s="103"/>
      <c r="N70" s="103"/>
      <c r="O70" s="103"/>
      <c r="P70" s="103"/>
      <c r="Q70" s="103"/>
    </row>
    <row r="71" spans="1:17" ht="15.6" x14ac:dyDescent="0.3">
      <c r="A71" s="103"/>
      <c r="B71" s="4"/>
      <c r="C71" s="4"/>
      <c r="D71" s="4"/>
      <c r="E71" s="4"/>
      <c r="F71" s="4"/>
      <c r="G71" s="4"/>
      <c r="H71" s="4"/>
      <c r="I71" s="4"/>
      <c r="J71" s="4"/>
      <c r="K71" s="4"/>
      <c r="L71" s="103"/>
      <c r="M71" s="103"/>
      <c r="N71" s="103"/>
      <c r="O71" s="103"/>
      <c r="P71" s="103"/>
      <c r="Q71" s="103"/>
    </row>
    <row r="72" spans="1:17" ht="15.6" x14ac:dyDescent="0.3">
      <c r="A72" s="103"/>
      <c r="B72" s="4"/>
      <c r="C72" s="4"/>
      <c r="D72" s="4"/>
      <c r="E72" s="4"/>
      <c r="F72" s="4"/>
      <c r="G72" s="4"/>
      <c r="H72" s="4"/>
      <c r="I72" s="4"/>
      <c r="J72" s="4"/>
      <c r="K72" s="4"/>
      <c r="L72" s="103"/>
      <c r="M72" s="103"/>
      <c r="N72" s="103"/>
      <c r="O72" s="103"/>
      <c r="P72" s="103"/>
      <c r="Q72" s="103"/>
    </row>
    <row r="73" spans="1:17" ht="15.6" x14ac:dyDescent="0.3">
      <c r="A73" s="103"/>
      <c r="B73" s="103"/>
      <c r="C73" s="103"/>
      <c r="D73" s="103"/>
      <c r="E73" s="103"/>
      <c r="F73" s="103"/>
      <c r="G73" s="103"/>
      <c r="H73" s="103"/>
      <c r="I73" s="103"/>
      <c r="J73" s="103"/>
      <c r="K73" s="103"/>
      <c r="L73" s="103"/>
      <c r="M73" s="103"/>
      <c r="N73" s="103"/>
      <c r="O73" s="103"/>
      <c r="P73" s="103"/>
      <c r="Q73" s="103"/>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3900D"/>
  </sheetPr>
  <dimension ref="A1:AE96"/>
  <sheetViews>
    <sheetView zoomScaleNormal="100" workbookViewId="0">
      <pane xSplit="4" ySplit="5" topLeftCell="E6" activePane="bottomRight" state="frozen"/>
      <selection pane="topRight" activeCell="E1" sqref="E1"/>
      <selection pane="bottomLeft" activeCell="A6" sqref="A6"/>
      <selection pane="bottomRight" activeCell="E2" sqref="E2:L2"/>
    </sheetView>
  </sheetViews>
  <sheetFormatPr defaultRowHeight="14.4" x14ac:dyDescent="0.3"/>
  <cols>
    <col min="1" max="4" width="1.6640625" style="278" customWidth="1"/>
    <col min="5" max="5" width="51.5546875" customWidth="1"/>
    <col min="6" max="6" width="12.5546875" customWidth="1"/>
    <col min="7" max="7" width="10.6640625" customWidth="1"/>
    <col min="8" max="8" width="10.109375" customWidth="1"/>
    <col min="9" max="9" width="11" customWidth="1"/>
    <col min="10" max="10" width="10.6640625" customWidth="1"/>
    <col min="11" max="11" width="12.109375" customWidth="1"/>
    <col min="12" max="12" width="10.6640625" customWidth="1"/>
    <col min="13" max="14" width="9.109375" hidden="1" customWidth="1"/>
    <col min="15" max="15" width="0" hidden="1" customWidth="1"/>
    <col min="16" max="31" width="9.109375" style="278"/>
  </cols>
  <sheetData>
    <row r="1" spans="1:31" s="278" customFormat="1" ht="15.6" x14ac:dyDescent="0.3">
      <c r="A1" s="279"/>
      <c r="B1" s="279"/>
      <c r="C1" s="279"/>
      <c r="D1" s="279"/>
      <c r="E1" s="279"/>
      <c r="F1" s="279"/>
      <c r="G1" s="279"/>
      <c r="H1" s="279"/>
      <c r="I1" s="279"/>
      <c r="J1" s="279"/>
      <c r="K1" s="279"/>
      <c r="L1" s="279"/>
      <c r="M1" s="279"/>
      <c r="N1" s="279"/>
      <c r="O1" s="279"/>
      <c r="P1" s="279"/>
      <c r="Q1" s="279"/>
      <c r="R1" s="279"/>
      <c r="S1" s="279"/>
    </row>
    <row r="2" spans="1:31" ht="18" x14ac:dyDescent="0.35">
      <c r="A2" s="279"/>
      <c r="B2" s="279"/>
      <c r="C2" s="279"/>
      <c r="D2" s="279"/>
      <c r="E2" s="552" t="s">
        <v>321</v>
      </c>
      <c r="F2" s="553"/>
      <c r="G2" s="553"/>
      <c r="H2" s="553"/>
      <c r="I2" s="553"/>
      <c r="J2" s="553"/>
      <c r="K2" s="553"/>
      <c r="L2" s="554"/>
      <c r="M2" s="4"/>
      <c r="N2" s="4"/>
      <c r="O2" s="1"/>
      <c r="P2" s="279"/>
      <c r="Q2" s="279"/>
      <c r="R2" s="279"/>
      <c r="S2" s="279"/>
    </row>
    <row r="3" spans="1:31" s="102" customFormat="1" ht="18" x14ac:dyDescent="0.35">
      <c r="A3" s="279"/>
      <c r="B3" s="279"/>
      <c r="C3" s="279"/>
      <c r="D3" s="279"/>
      <c r="E3" s="549"/>
      <c r="F3" s="550"/>
      <c r="G3" s="550"/>
      <c r="H3" s="550"/>
      <c r="I3" s="550"/>
      <c r="J3" s="550"/>
      <c r="K3" s="550"/>
      <c r="L3" s="551"/>
      <c r="M3" s="4"/>
      <c r="N3" s="4"/>
      <c r="O3" s="103"/>
      <c r="P3" s="279"/>
      <c r="Q3" s="279"/>
      <c r="R3" s="279"/>
      <c r="S3" s="279"/>
      <c r="T3" s="278"/>
      <c r="U3" s="278"/>
      <c r="V3" s="278"/>
      <c r="W3" s="278"/>
      <c r="X3" s="278"/>
      <c r="Y3" s="278"/>
      <c r="Z3" s="278"/>
      <c r="AA3" s="278"/>
      <c r="AB3" s="278"/>
      <c r="AC3" s="278"/>
      <c r="AD3" s="278"/>
      <c r="AE3" s="278"/>
    </row>
    <row r="4" spans="1:31" ht="15.6" x14ac:dyDescent="0.3">
      <c r="A4" s="279"/>
      <c r="B4" s="279"/>
      <c r="C4" s="279"/>
      <c r="D4" s="279"/>
      <c r="E4" s="242"/>
      <c r="F4" s="243" t="s">
        <v>14</v>
      </c>
      <c r="G4" s="243" t="s">
        <v>15</v>
      </c>
      <c r="H4" s="243" t="s">
        <v>16</v>
      </c>
      <c r="I4" s="244" t="s">
        <v>17</v>
      </c>
      <c r="J4" s="245"/>
      <c r="K4" s="244" t="s">
        <v>18</v>
      </c>
      <c r="L4" s="245"/>
      <c r="M4" s="4"/>
      <c r="N4" s="4"/>
      <c r="O4" s="1"/>
      <c r="P4" s="279"/>
      <c r="Q4" s="279"/>
      <c r="R4" s="279"/>
      <c r="S4" s="279"/>
    </row>
    <row r="5" spans="1:31" ht="30.6" x14ac:dyDescent="0.3">
      <c r="A5" s="279"/>
      <c r="B5" s="279"/>
      <c r="C5" s="279"/>
      <c r="D5" s="279"/>
      <c r="E5" s="242" t="s">
        <v>19</v>
      </c>
      <c r="F5" s="247" t="s">
        <v>20</v>
      </c>
      <c r="G5" s="247" t="s">
        <v>21</v>
      </c>
      <c r="H5" s="247" t="s">
        <v>22</v>
      </c>
      <c r="I5" s="247" t="s">
        <v>21</v>
      </c>
      <c r="J5" s="247" t="s">
        <v>23</v>
      </c>
      <c r="K5" s="247" t="s">
        <v>22</v>
      </c>
      <c r="L5" s="247" t="s">
        <v>24</v>
      </c>
      <c r="M5" s="15"/>
      <c r="N5" s="4"/>
      <c r="O5" s="1"/>
      <c r="P5" s="279"/>
      <c r="Q5" s="279"/>
      <c r="R5" s="279"/>
      <c r="S5" s="279"/>
    </row>
    <row r="6" spans="1:31" ht="15.6" x14ac:dyDescent="0.3">
      <c r="A6" s="279"/>
      <c r="B6" s="279"/>
      <c r="C6" s="279"/>
      <c r="D6" s="279"/>
      <c r="E6" s="248" t="s">
        <v>271</v>
      </c>
      <c r="F6" s="249"/>
      <c r="G6" s="249"/>
      <c r="H6" s="249"/>
      <c r="I6" s="249"/>
      <c r="J6" s="249"/>
      <c r="K6" s="249"/>
      <c r="L6" s="250"/>
      <c r="M6" s="4"/>
      <c r="N6" s="4"/>
      <c r="O6" s="1"/>
      <c r="P6" s="279"/>
      <c r="Q6" s="279"/>
      <c r="R6" s="279"/>
      <c r="S6" s="279"/>
    </row>
    <row r="7" spans="1:31" ht="15.6" x14ac:dyDescent="0.3">
      <c r="A7" s="279"/>
      <c r="B7" s="279"/>
      <c r="C7" s="279"/>
      <c r="D7" s="279"/>
      <c r="E7" s="381" t="s">
        <v>289</v>
      </c>
      <c r="F7" s="382">
        <f>80*10/60</f>
        <v>13.333333333333334</v>
      </c>
      <c r="G7" s="383">
        <v>15</v>
      </c>
      <c r="H7" s="384"/>
      <c r="I7" s="385">
        <v>0.24705882352941178</v>
      </c>
      <c r="J7" s="384"/>
      <c r="K7" s="251">
        <f>(F7*G7)+(F7*I7)+H7</f>
        <v>203.29411764705881</v>
      </c>
      <c r="L7" s="251">
        <f>(F7*J7)</f>
        <v>0</v>
      </c>
      <c r="M7" s="4" t="s">
        <v>27</v>
      </c>
      <c r="N7" s="4"/>
      <c r="O7" s="1"/>
      <c r="P7" s="279"/>
      <c r="Q7" s="279"/>
      <c r="R7" s="279"/>
      <c r="S7" s="279"/>
    </row>
    <row r="8" spans="1:31" ht="15.6" x14ac:dyDescent="0.3">
      <c r="A8" s="279"/>
      <c r="B8" s="279"/>
      <c r="C8" s="279"/>
      <c r="D8" s="279"/>
      <c r="E8" s="386" t="s">
        <v>28</v>
      </c>
      <c r="F8" s="387">
        <v>0.5</v>
      </c>
      <c r="G8" s="388">
        <v>15</v>
      </c>
      <c r="H8" s="389"/>
      <c r="I8" s="389">
        <f>'Chestnuts Machinery Cost'!M18+'Chestnuts Machinery Cost'!I18</f>
        <v>21.082874639423078</v>
      </c>
      <c r="J8" s="389">
        <f>'Chestnuts Machinery Cost'!H18</f>
        <v>12.183432823773412</v>
      </c>
      <c r="K8" s="251">
        <f t="shared" ref="K8:K11" si="0">(F8*G8)+(F8*I8)+H8</f>
        <v>18.041437319711541</v>
      </c>
      <c r="L8" s="251">
        <f t="shared" ref="L8:L11" si="1">(F8*J8)</f>
        <v>6.091716411886706</v>
      </c>
      <c r="M8" s="4" t="s">
        <v>29</v>
      </c>
      <c r="N8" s="4"/>
      <c r="O8" s="1"/>
      <c r="P8" s="279"/>
      <c r="Q8" s="279"/>
      <c r="R8" s="279"/>
      <c r="S8" s="279"/>
    </row>
    <row r="9" spans="1:31" ht="15.6" x14ac:dyDescent="0.3">
      <c r="A9" s="279"/>
      <c r="B9" s="279"/>
      <c r="C9" s="279"/>
      <c r="D9" s="279"/>
      <c r="E9" s="386" t="str">
        <f>'Chestnuts Machinery Cost'!D10</f>
        <v>Pruning Basket</v>
      </c>
      <c r="F9" s="387">
        <f>F7</f>
        <v>13.333333333333334</v>
      </c>
      <c r="G9" s="388"/>
      <c r="H9" s="389"/>
      <c r="I9" s="389">
        <f>'Chestnuts Machinery Cost'!M25+'Chestnuts Machinery Cost'!I25</f>
        <v>4.6473398496240588</v>
      </c>
      <c r="J9" s="389">
        <f>'Chestnuts Machinery Cost'!H25</f>
        <v>12.769606091402046</v>
      </c>
      <c r="K9" s="251">
        <f t="shared" si="0"/>
        <v>61.964531328320788</v>
      </c>
      <c r="L9" s="251">
        <f t="shared" si="1"/>
        <v>170.2614145520273</v>
      </c>
      <c r="M9" s="4"/>
      <c r="N9" s="4"/>
      <c r="O9" s="1"/>
      <c r="P9" s="279"/>
      <c r="Q9" s="279"/>
      <c r="R9" s="279"/>
      <c r="S9" s="279"/>
    </row>
    <row r="10" spans="1:31" ht="15.6" x14ac:dyDescent="0.3">
      <c r="A10" s="279"/>
      <c r="B10" s="279"/>
      <c r="C10" s="279"/>
      <c r="D10" s="279"/>
      <c r="E10" s="386"/>
      <c r="F10" s="387">
        <v>0</v>
      </c>
      <c r="G10" s="388">
        <v>0</v>
      </c>
      <c r="H10" s="389"/>
      <c r="I10" s="389">
        <f>I8</f>
        <v>21.082874639423078</v>
      </c>
      <c r="J10" s="389">
        <f>J8</f>
        <v>12.183432823773412</v>
      </c>
      <c r="K10" s="251">
        <f t="shared" si="0"/>
        <v>0</v>
      </c>
      <c r="L10" s="251">
        <f t="shared" si="1"/>
        <v>0</v>
      </c>
      <c r="M10" s="4"/>
      <c r="N10" s="4"/>
      <c r="O10" s="1"/>
      <c r="P10" s="279"/>
      <c r="Q10" s="279"/>
      <c r="R10" s="279"/>
      <c r="S10" s="279"/>
    </row>
    <row r="11" spans="1:31" ht="15.6" x14ac:dyDescent="0.3">
      <c r="A11" s="279"/>
      <c r="B11" s="279"/>
      <c r="C11" s="279"/>
      <c r="D11" s="279"/>
      <c r="E11" s="390"/>
      <c r="F11" s="391">
        <v>0</v>
      </c>
      <c r="G11" s="392"/>
      <c r="H11" s="393"/>
      <c r="I11" s="393">
        <f>'Chestnuts Machinery Cost'!M27+'Chestnuts Machinery Cost'!I27</f>
        <v>5.5963249999999993</v>
      </c>
      <c r="J11" s="393">
        <f>'Chestnuts Machinery Cost'!H27</f>
        <v>10.075506522253272</v>
      </c>
      <c r="K11" s="251">
        <f t="shared" si="0"/>
        <v>0</v>
      </c>
      <c r="L11" s="251">
        <f t="shared" si="1"/>
        <v>0</v>
      </c>
      <c r="M11" s="4"/>
      <c r="N11" s="4"/>
      <c r="O11" s="1"/>
      <c r="P11" s="279"/>
      <c r="Q11" s="279"/>
      <c r="R11" s="279"/>
      <c r="S11" s="279"/>
    </row>
    <row r="12" spans="1:31" ht="15.6" x14ac:dyDescent="0.3">
      <c r="A12" s="279"/>
      <c r="B12" s="279"/>
      <c r="C12" s="279"/>
      <c r="D12" s="279"/>
      <c r="E12" s="394" t="s">
        <v>4</v>
      </c>
      <c r="F12" s="395"/>
      <c r="G12" s="396"/>
      <c r="H12" s="396"/>
      <c r="I12" s="396"/>
      <c r="J12" s="397"/>
      <c r="K12" s="256">
        <f>SUM(K7:K11)</f>
        <v>283.30008629509115</v>
      </c>
      <c r="L12" s="255">
        <f>SUM(L7:L11)</f>
        <v>176.353130963914</v>
      </c>
      <c r="M12" s="4"/>
      <c r="N12" s="4"/>
      <c r="O12" s="1"/>
      <c r="P12" s="279"/>
      <c r="Q12" s="279"/>
      <c r="R12" s="279"/>
      <c r="S12" s="279"/>
    </row>
    <row r="13" spans="1:31" ht="15.6" x14ac:dyDescent="0.3">
      <c r="A13" s="279"/>
      <c r="B13" s="279"/>
      <c r="C13" s="279"/>
      <c r="D13" s="279"/>
      <c r="E13" s="398" t="s">
        <v>267</v>
      </c>
      <c r="F13" s="395"/>
      <c r="G13" s="396"/>
      <c r="H13" s="396"/>
      <c r="I13" s="396"/>
      <c r="J13" s="396"/>
      <c r="K13" s="254"/>
      <c r="L13" s="255"/>
      <c r="M13" s="4"/>
      <c r="N13" s="4"/>
      <c r="O13" s="1"/>
      <c r="P13" s="279"/>
      <c r="Q13" s="279"/>
      <c r="R13" s="279"/>
      <c r="S13" s="279"/>
    </row>
    <row r="14" spans="1:31" ht="15.6" x14ac:dyDescent="0.3">
      <c r="A14" s="279"/>
      <c r="B14" s="279"/>
      <c r="C14" s="279"/>
      <c r="D14" s="279"/>
      <c r="E14" s="381" t="s">
        <v>33</v>
      </c>
      <c r="F14" s="382">
        <f>0.333*5</f>
        <v>1.665</v>
      </c>
      <c r="G14" s="385">
        <v>15</v>
      </c>
      <c r="H14" s="384"/>
      <c r="I14" s="384">
        <f>'Chestnuts Machinery Cost'!M19+'Chestnuts Machinery Cost'!I19</f>
        <v>15.177194999999999</v>
      </c>
      <c r="J14" s="384">
        <f>'Chestnuts Machinery Cost'!H19</f>
        <v>8.0270372916653354</v>
      </c>
      <c r="K14" s="251">
        <f t="shared" ref="K14:K15" si="2">(F14*G14)+(F14*I14)+H14</f>
        <v>50.245029674999998</v>
      </c>
      <c r="L14" s="251">
        <f t="shared" ref="L14:L15" si="3">(F14*J14)</f>
        <v>13.365017090622784</v>
      </c>
      <c r="M14" s="4"/>
      <c r="N14" s="4"/>
      <c r="O14" s="1"/>
      <c r="P14" s="279"/>
      <c r="Q14" s="279"/>
      <c r="R14" s="279"/>
      <c r="S14" s="279"/>
    </row>
    <row r="15" spans="1:31" ht="15.6" x14ac:dyDescent="0.3">
      <c r="A15" s="279"/>
      <c r="B15" s="279"/>
      <c r="C15" s="279"/>
      <c r="D15" s="279"/>
      <c r="E15" s="390" t="s">
        <v>34</v>
      </c>
      <c r="F15" s="391">
        <f>0.333*5</f>
        <v>1.665</v>
      </c>
      <c r="G15" s="393"/>
      <c r="H15" s="393"/>
      <c r="I15" s="393">
        <f>'Chestnuts Machinery Cost'!M24+'Chestnuts Machinery Cost'!I24</f>
        <v>3.9092404255319146</v>
      </c>
      <c r="J15" s="393">
        <f>'Chestnuts Machinery Cost'!H24</f>
        <v>12.64734390542054</v>
      </c>
      <c r="K15" s="251">
        <f t="shared" si="2"/>
        <v>6.5088853085106377</v>
      </c>
      <c r="L15" s="251">
        <f t="shared" si="3"/>
        <v>21.057827602525197</v>
      </c>
      <c r="M15" s="4"/>
      <c r="N15" s="4"/>
      <c r="O15" s="1"/>
      <c r="P15" s="279"/>
      <c r="Q15" s="279"/>
      <c r="R15" s="279"/>
      <c r="S15" s="279"/>
    </row>
    <row r="16" spans="1:31" ht="15.6" x14ac:dyDescent="0.3">
      <c r="A16" s="279"/>
      <c r="B16" s="279"/>
      <c r="C16" s="279"/>
      <c r="D16" s="279"/>
      <c r="E16" s="394" t="s">
        <v>4</v>
      </c>
      <c r="F16" s="395"/>
      <c r="G16" s="396"/>
      <c r="H16" s="396"/>
      <c r="I16" s="396"/>
      <c r="J16" s="396"/>
      <c r="K16" s="256">
        <f>SUM(K14:K15)</f>
        <v>56.753914983510633</v>
      </c>
      <c r="L16" s="255">
        <f>SUM(L14:L15)</f>
        <v>34.422844693147979</v>
      </c>
      <c r="M16" s="4"/>
      <c r="N16" s="4"/>
      <c r="O16" s="1"/>
      <c r="P16" s="279"/>
      <c r="Q16" s="279"/>
      <c r="R16" s="279"/>
      <c r="S16" s="279"/>
    </row>
    <row r="17" spans="1:31" ht="15.6" x14ac:dyDescent="0.3">
      <c r="A17" s="279"/>
      <c r="B17" s="279"/>
      <c r="C17" s="279"/>
      <c r="D17" s="279"/>
      <c r="E17" s="398" t="s">
        <v>272</v>
      </c>
      <c r="F17" s="395"/>
      <c r="G17" s="396"/>
      <c r="H17" s="396"/>
      <c r="I17" s="396"/>
      <c r="J17" s="396"/>
      <c r="K17" s="254"/>
      <c r="L17" s="255"/>
      <c r="M17" s="4"/>
      <c r="N17" s="4"/>
      <c r="O17" s="1"/>
      <c r="P17" s="279"/>
      <c r="Q17" s="279"/>
      <c r="R17" s="279"/>
      <c r="S17" s="279"/>
    </row>
    <row r="18" spans="1:31" ht="15.75" customHeight="1" x14ac:dyDescent="0.3">
      <c r="A18" s="279"/>
      <c r="B18" s="279"/>
      <c r="C18" s="279"/>
      <c r="D18" s="279"/>
      <c r="E18" s="381" t="s">
        <v>36</v>
      </c>
      <c r="F18" s="382">
        <f>0.5*6</f>
        <v>3</v>
      </c>
      <c r="G18" s="385">
        <v>30</v>
      </c>
      <c r="H18" s="384"/>
      <c r="I18" s="384">
        <f>I10</f>
        <v>21.082874639423078</v>
      </c>
      <c r="J18" s="384">
        <f>J10</f>
        <v>12.183432823773412</v>
      </c>
      <c r="K18" s="251">
        <f t="shared" ref="K18:K23" si="4">(F18*G18)+(F18*I18)+H18</f>
        <v>153.24862391826923</v>
      </c>
      <c r="L18" s="251">
        <f t="shared" ref="L18:L23" si="5">(F18*J18)</f>
        <v>36.550298471320232</v>
      </c>
      <c r="M18" s="4"/>
      <c r="N18" s="4"/>
      <c r="O18" s="1"/>
      <c r="P18" s="279"/>
      <c r="Q18" s="279"/>
      <c r="R18" s="279"/>
      <c r="S18" s="279"/>
    </row>
    <row r="19" spans="1:31" ht="15.6" x14ac:dyDescent="0.3">
      <c r="A19" s="279"/>
      <c r="B19" s="279"/>
      <c r="C19" s="279"/>
      <c r="D19" s="279"/>
      <c r="E19" s="386" t="s">
        <v>37</v>
      </c>
      <c r="F19" s="387">
        <f>F18</f>
        <v>3</v>
      </c>
      <c r="G19" s="389"/>
      <c r="H19" s="389"/>
      <c r="I19" s="389">
        <f>'Chestnuts Machinery Cost'!M22+'Chestnuts Machinery Cost'!I22</f>
        <v>9.7473167832167835</v>
      </c>
      <c r="J19" s="389">
        <f>'Chestnuts Machinery Cost'!H22</f>
        <v>12.649268698465464</v>
      </c>
      <c r="K19" s="251">
        <f t="shared" si="4"/>
        <v>29.241950349650352</v>
      </c>
      <c r="L19" s="251">
        <f t="shared" si="5"/>
        <v>37.947806095396395</v>
      </c>
      <c r="M19" s="4"/>
      <c r="N19" s="4"/>
      <c r="O19" s="1"/>
      <c r="P19" s="279"/>
      <c r="Q19" s="279"/>
      <c r="R19" s="279"/>
      <c r="S19" s="279"/>
    </row>
    <row r="20" spans="1:31" ht="15.6" x14ac:dyDescent="0.3">
      <c r="A20" s="279"/>
      <c r="B20" s="279"/>
      <c r="C20" s="279"/>
      <c r="D20" s="279"/>
      <c r="E20" s="386" t="s">
        <v>356</v>
      </c>
      <c r="F20" s="387">
        <v>0</v>
      </c>
      <c r="G20" s="389"/>
      <c r="H20" s="399">
        <f>3.5*20</f>
        <v>70</v>
      </c>
      <c r="I20" s="389"/>
      <c r="J20" s="389"/>
      <c r="K20" s="251">
        <f t="shared" si="4"/>
        <v>70</v>
      </c>
      <c r="L20" s="251">
        <f t="shared" si="5"/>
        <v>0</v>
      </c>
      <c r="M20" s="4"/>
      <c r="N20" s="4"/>
      <c r="O20" s="1"/>
      <c r="P20" s="279"/>
      <c r="Q20" s="279"/>
      <c r="R20" s="279"/>
      <c r="S20" s="279"/>
    </row>
    <row r="21" spans="1:31" s="102" customFormat="1" ht="15.6" x14ac:dyDescent="0.3">
      <c r="A21" s="279"/>
      <c r="B21" s="279"/>
      <c r="C21" s="279"/>
      <c r="D21" s="279"/>
      <c r="E21" s="386" t="s">
        <v>357</v>
      </c>
      <c r="F21" s="400"/>
      <c r="G21" s="389"/>
      <c r="H21" s="399"/>
      <c r="I21" s="389"/>
      <c r="J21" s="389"/>
      <c r="K21" s="251">
        <f t="shared" si="4"/>
        <v>0</v>
      </c>
      <c r="L21" s="251">
        <f t="shared" si="5"/>
        <v>0</v>
      </c>
      <c r="M21" s="4"/>
      <c r="N21" s="4"/>
      <c r="O21" s="103"/>
      <c r="P21" s="279"/>
      <c r="Q21" s="279"/>
      <c r="R21" s="279"/>
      <c r="S21" s="279"/>
      <c r="T21" s="278"/>
      <c r="U21" s="278"/>
      <c r="V21" s="278"/>
      <c r="W21" s="278"/>
      <c r="X21" s="278"/>
      <c r="Y21" s="278"/>
      <c r="Z21" s="278"/>
      <c r="AA21" s="278"/>
      <c r="AB21" s="278"/>
      <c r="AC21" s="278"/>
      <c r="AD21" s="278"/>
      <c r="AE21" s="278"/>
    </row>
    <row r="22" spans="1:31" ht="15.6" x14ac:dyDescent="0.3">
      <c r="A22" s="279"/>
      <c r="B22" s="279"/>
      <c r="C22" s="279"/>
      <c r="D22" s="279"/>
      <c r="E22" s="386"/>
      <c r="F22" s="400"/>
      <c r="G22" s="389"/>
      <c r="H22" s="399"/>
      <c r="I22" s="389"/>
      <c r="J22" s="389"/>
      <c r="K22" s="251">
        <f t="shared" si="4"/>
        <v>0</v>
      </c>
      <c r="L22" s="251">
        <f t="shared" si="5"/>
        <v>0</v>
      </c>
      <c r="M22" s="4"/>
      <c r="N22" s="4"/>
      <c r="O22" s="1"/>
      <c r="P22" s="279"/>
      <c r="Q22" s="279"/>
      <c r="R22" s="279"/>
      <c r="S22" s="279"/>
    </row>
    <row r="23" spans="1:31" ht="15.6" x14ac:dyDescent="0.3">
      <c r="A23" s="279"/>
      <c r="B23" s="279"/>
      <c r="C23" s="279"/>
      <c r="D23" s="279"/>
      <c r="E23" s="390"/>
      <c r="F23" s="401"/>
      <c r="G23" s="393"/>
      <c r="H23" s="402"/>
      <c r="I23" s="393"/>
      <c r="J23" s="393"/>
      <c r="K23" s="251">
        <f t="shared" si="4"/>
        <v>0</v>
      </c>
      <c r="L23" s="251">
        <f t="shared" si="5"/>
        <v>0</v>
      </c>
      <c r="M23" s="4"/>
      <c r="N23" s="4"/>
      <c r="O23" s="1"/>
      <c r="P23" s="279"/>
      <c r="Q23" s="279"/>
      <c r="R23" s="279"/>
      <c r="S23" s="279"/>
    </row>
    <row r="24" spans="1:31" ht="15.6" x14ac:dyDescent="0.3">
      <c r="A24" s="279"/>
      <c r="B24" s="279"/>
      <c r="C24" s="279"/>
      <c r="D24" s="279"/>
      <c r="E24" s="394" t="s">
        <v>4</v>
      </c>
      <c r="F24" s="395"/>
      <c r="G24" s="396"/>
      <c r="H24" s="396"/>
      <c r="I24" s="396"/>
      <c r="J24" s="396"/>
      <c r="K24" s="256">
        <f>SUM(K18:K23)</f>
        <v>252.49057426791958</v>
      </c>
      <c r="L24" s="255">
        <f>SUM(L18:L23)</f>
        <v>74.49810456671662</v>
      </c>
      <c r="M24" s="4"/>
      <c r="N24" s="4"/>
      <c r="O24" s="1"/>
      <c r="P24" s="279"/>
      <c r="Q24" s="279"/>
      <c r="R24" s="279"/>
      <c r="S24" s="279"/>
    </row>
    <row r="25" spans="1:31" s="278" customFormat="1" ht="15.6" x14ac:dyDescent="0.3">
      <c r="A25" s="279"/>
      <c r="B25" s="279"/>
      <c r="C25" s="279"/>
      <c r="D25" s="279"/>
      <c r="E25" s="398" t="s">
        <v>359</v>
      </c>
      <c r="F25" s="395"/>
      <c r="G25" s="396"/>
      <c r="H25" s="396"/>
      <c r="I25" s="396"/>
      <c r="J25" s="396"/>
      <c r="K25" s="254"/>
      <c r="L25" s="255"/>
      <c r="M25" s="281"/>
      <c r="N25" s="281"/>
      <c r="O25" s="279"/>
      <c r="P25" s="279"/>
      <c r="Q25" s="279"/>
      <c r="R25" s="279"/>
      <c r="S25" s="279"/>
    </row>
    <row r="26" spans="1:31" s="278" customFormat="1" ht="15.6" x14ac:dyDescent="0.3">
      <c r="A26" s="279"/>
      <c r="B26" s="279"/>
      <c r="C26" s="279"/>
      <c r="D26" s="279"/>
      <c r="E26" s="403" t="str">
        <f>E18</f>
        <v>85 HP Tractor</v>
      </c>
      <c r="F26" s="404">
        <v>0</v>
      </c>
      <c r="G26" s="385">
        <v>0</v>
      </c>
      <c r="H26" s="405"/>
      <c r="I26" s="384">
        <f>I18</f>
        <v>21.082874639423078</v>
      </c>
      <c r="J26" s="384">
        <f>J18</f>
        <v>12.183432823773412</v>
      </c>
      <c r="K26" s="251">
        <f t="shared" ref="K26:K28" si="6">(F26*G26)+(F26*I26)+H26</f>
        <v>0</v>
      </c>
      <c r="L26" s="251">
        <f t="shared" ref="L26:L28" si="7">(F26*J26)</f>
        <v>0</v>
      </c>
      <c r="M26" s="281" t="s">
        <v>27</v>
      </c>
      <c r="N26" s="281"/>
      <c r="O26" s="279"/>
      <c r="P26" s="279"/>
      <c r="Q26" s="279"/>
      <c r="R26" s="279"/>
      <c r="S26" s="279"/>
    </row>
    <row r="27" spans="1:31" s="278" customFormat="1" ht="15.6" x14ac:dyDescent="0.3">
      <c r="A27" s="279"/>
      <c r="B27" s="279"/>
      <c r="C27" s="279"/>
      <c r="D27" s="279"/>
      <c r="E27" s="406" t="str">
        <f>E19</f>
        <v>Orchard Sprayer</v>
      </c>
      <c r="F27" s="404">
        <v>0</v>
      </c>
      <c r="G27" s="389"/>
      <c r="H27" s="407"/>
      <c r="I27" s="389">
        <f>I19</f>
        <v>9.7473167832167835</v>
      </c>
      <c r="J27" s="389">
        <f>J19</f>
        <v>12.649268698465464</v>
      </c>
      <c r="K27" s="251">
        <f t="shared" si="6"/>
        <v>0</v>
      </c>
      <c r="L27" s="251">
        <f t="shared" si="7"/>
        <v>0</v>
      </c>
      <c r="M27" s="281" t="s">
        <v>29</v>
      </c>
      <c r="N27" s="281"/>
      <c r="O27" s="279"/>
      <c r="P27" s="279"/>
      <c r="Q27" s="279"/>
      <c r="R27" s="279"/>
      <c r="S27" s="279"/>
    </row>
    <row r="28" spans="1:31" s="278" customFormat="1" ht="15.6" x14ac:dyDescent="0.3">
      <c r="A28" s="279"/>
      <c r="B28" s="279"/>
      <c r="C28" s="279"/>
      <c r="D28" s="279"/>
      <c r="E28" s="408"/>
      <c r="F28" s="409"/>
      <c r="G28" s="393"/>
      <c r="H28" s="385"/>
      <c r="I28" s="393"/>
      <c r="J28" s="393"/>
      <c r="K28" s="251">
        <f t="shared" si="6"/>
        <v>0</v>
      </c>
      <c r="L28" s="251">
        <f t="shared" si="7"/>
        <v>0</v>
      </c>
      <c r="M28" s="281"/>
      <c r="N28" s="281"/>
      <c r="O28" s="279"/>
      <c r="P28" s="279"/>
      <c r="Q28" s="279"/>
      <c r="R28" s="279"/>
      <c r="S28" s="279"/>
    </row>
    <row r="29" spans="1:31" s="278" customFormat="1" ht="15.6" x14ac:dyDescent="0.3">
      <c r="A29" s="279"/>
      <c r="B29" s="279"/>
      <c r="C29" s="279"/>
      <c r="D29" s="279"/>
      <c r="E29" s="398" t="s">
        <v>4</v>
      </c>
      <c r="F29" s="410"/>
      <c r="G29" s="411"/>
      <c r="H29" s="396"/>
      <c r="I29" s="396"/>
      <c r="J29" s="397"/>
      <c r="K29" s="256">
        <f>SUM(K26:K28)</f>
        <v>0</v>
      </c>
      <c r="L29" s="256">
        <f>SUM(L26:L28)</f>
        <v>0</v>
      </c>
      <c r="M29" s="281"/>
      <c r="N29" s="281"/>
      <c r="O29" s="279"/>
      <c r="P29" s="279"/>
      <c r="Q29" s="279"/>
      <c r="R29" s="279"/>
      <c r="S29" s="279"/>
    </row>
    <row r="30" spans="1:31" ht="15.6" x14ac:dyDescent="0.3">
      <c r="A30" s="279"/>
      <c r="B30" s="279"/>
      <c r="C30" s="279"/>
      <c r="D30" s="279"/>
      <c r="E30" s="398" t="s">
        <v>281</v>
      </c>
      <c r="F30" s="395"/>
      <c r="G30" s="412"/>
      <c r="H30" s="396"/>
      <c r="I30" s="396"/>
      <c r="J30" s="396"/>
      <c r="K30" s="254"/>
      <c r="L30" s="255"/>
      <c r="M30" s="4"/>
      <c r="N30" s="4"/>
      <c r="O30" s="1"/>
      <c r="P30" s="279"/>
      <c r="Q30" s="279"/>
      <c r="R30" s="279"/>
      <c r="S30" s="279"/>
    </row>
    <row r="31" spans="1:31" ht="15.6" x14ac:dyDescent="0.3">
      <c r="A31" s="279"/>
      <c r="B31" s="279"/>
      <c r="C31" s="279"/>
      <c r="D31" s="279"/>
      <c r="E31" s="381" t="s">
        <v>294</v>
      </c>
      <c r="F31" s="413">
        <f>0.2*2</f>
        <v>0.4</v>
      </c>
      <c r="G31" s="385">
        <v>30</v>
      </c>
      <c r="H31" s="405"/>
      <c r="I31" s="384">
        <f>'Chestnuts Machinery Cost'!M20+'Chestnuts Machinery Cost'!I20</f>
        <v>21.268636562499999</v>
      </c>
      <c r="J31" s="384">
        <f>'Chestnuts Machinery Cost'!H20</f>
        <v>2.5430484523163881</v>
      </c>
      <c r="K31" s="251">
        <f t="shared" ref="K31:K33" si="8">(F31*G31)+(F31*I31)+H31</f>
        <v>20.507454625000001</v>
      </c>
      <c r="L31" s="251">
        <f t="shared" ref="L31:L33" si="9">(F31*J31)</f>
        <v>1.0172193809265553</v>
      </c>
      <c r="M31" s="4"/>
      <c r="N31" s="4"/>
      <c r="O31" s="1"/>
      <c r="P31" s="279"/>
      <c r="Q31" s="279"/>
      <c r="R31" s="279"/>
      <c r="S31" s="279"/>
    </row>
    <row r="32" spans="1:31" ht="15.6" x14ac:dyDescent="0.3">
      <c r="A32" s="279"/>
      <c r="B32" s="279"/>
      <c r="C32" s="279"/>
      <c r="D32" s="279"/>
      <c r="E32" s="386" t="s">
        <v>290</v>
      </c>
      <c r="F32" s="404">
        <f>F31</f>
        <v>0.4</v>
      </c>
      <c r="G32" s="399"/>
      <c r="H32" s="407"/>
      <c r="I32" s="389">
        <f>'Chestnuts Machinery Cost'!M23+'Chestnuts Machinery Cost'!I23</f>
        <v>0.88799166666666662</v>
      </c>
      <c r="J32" s="389">
        <f>'Chestnuts Machinery Cost'!H23</f>
        <v>6.1454002203411155</v>
      </c>
      <c r="K32" s="251">
        <f t="shared" si="8"/>
        <v>0.35519666666666666</v>
      </c>
      <c r="L32" s="251">
        <f t="shared" si="9"/>
        <v>2.4581600881364465</v>
      </c>
      <c r="M32" s="4"/>
      <c r="N32" s="4"/>
      <c r="O32" s="1"/>
      <c r="P32" s="279"/>
      <c r="Q32" s="279"/>
      <c r="R32" s="279"/>
      <c r="S32" s="279"/>
    </row>
    <row r="33" spans="1:31" ht="15.6" x14ac:dyDescent="0.3">
      <c r="A33" s="279"/>
      <c r="B33" s="279"/>
      <c r="C33" s="279"/>
      <c r="D33" s="279"/>
      <c r="E33" s="390" t="s">
        <v>310</v>
      </c>
      <c r="F33" s="414"/>
      <c r="G33" s="402"/>
      <c r="H33" s="392">
        <v>3</v>
      </c>
      <c r="I33" s="393"/>
      <c r="J33" s="393"/>
      <c r="K33" s="251">
        <f t="shared" si="8"/>
        <v>3</v>
      </c>
      <c r="L33" s="251">
        <f t="shared" si="9"/>
        <v>0</v>
      </c>
      <c r="M33" s="4"/>
      <c r="N33" s="4"/>
      <c r="O33" s="1"/>
      <c r="P33" s="279"/>
      <c r="Q33" s="279"/>
      <c r="R33" s="279"/>
      <c r="S33" s="279"/>
    </row>
    <row r="34" spans="1:31" ht="15.6" x14ac:dyDescent="0.3">
      <c r="A34" s="279"/>
      <c r="B34" s="279"/>
      <c r="C34" s="279"/>
      <c r="D34" s="279"/>
      <c r="E34" s="398" t="s">
        <v>4</v>
      </c>
      <c r="F34" s="410"/>
      <c r="G34" s="411"/>
      <c r="H34" s="396"/>
      <c r="I34" s="396"/>
      <c r="J34" s="397"/>
      <c r="K34" s="256">
        <f>SUM(K31:K33)</f>
        <v>23.862651291666669</v>
      </c>
      <c r="L34" s="255">
        <f>SUM(L31:L33)</f>
        <v>3.475379469063002</v>
      </c>
      <c r="M34" s="4"/>
      <c r="N34" s="4"/>
      <c r="O34" s="1"/>
      <c r="P34" s="279"/>
      <c r="Q34" s="279"/>
      <c r="R34" s="279"/>
      <c r="S34" s="279"/>
    </row>
    <row r="35" spans="1:31" ht="15.6" x14ac:dyDescent="0.3">
      <c r="A35" s="279"/>
      <c r="B35" s="279"/>
      <c r="C35" s="279"/>
      <c r="D35" s="279"/>
      <c r="E35" s="398" t="s">
        <v>6</v>
      </c>
      <c r="F35" s="395"/>
      <c r="G35" s="396"/>
      <c r="H35" s="396"/>
      <c r="I35" s="396"/>
      <c r="J35" s="396"/>
      <c r="K35" s="254"/>
      <c r="L35" s="255"/>
      <c r="M35" s="4"/>
      <c r="N35" s="4"/>
      <c r="O35" s="1"/>
      <c r="P35" s="279"/>
      <c r="Q35" s="279"/>
      <c r="R35" s="279"/>
      <c r="S35" s="279"/>
    </row>
    <row r="36" spans="1:31" ht="15.6" x14ac:dyDescent="0.3">
      <c r="A36" s="279"/>
      <c r="B36" s="279"/>
      <c r="C36" s="279"/>
      <c r="D36" s="279"/>
      <c r="E36" s="381" t="s">
        <v>46</v>
      </c>
      <c r="F36" s="415">
        <v>0.15</v>
      </c>
      <c r="G36" s="385">
        <v>30</v>
      </c>
      <c r="H36" s="384"/>
      <c r="I36" s="384">
        <f>I14</f>
        <v>15.177194999999999</v>
      </c>
      <c r="J36" s="384">
        <f>J14</f>
        <v>8.0270372916653354</v>
      </c>
      <c r="K36" s="251">
        <f t="shared" ref="K36:K45" si="10">(F36*G36)+(F36*I36)+H36</f>
        <v>6.7765792499999993</v>
      </c>
      <c r="L36" s="251">
        <f t="shared" ref="L36:L45" si="11">(F36*J36)</f>
        <v>1.2040555937498003</v>
      </c>
      <c r="M36" s="4" t="s">
        <v>47</v>
      </c>
      <c r="N36" s="4"/>
      <c r="O36" s="1"/>
      <c r="P36" s="279"/>
      <c r="Q36" s="279"/>
      <c r="R36" s="279"/>
      <c r="S36" s="279"/>
    </row>
    <row r="37" spans="1:31" ht="15.6" x14ac:dyDescent="0.3">
      <c r="A37" s="279"/>
      <c r="B37" s="279"/>
      <c r="C37" s="279"/>
      <c r="D37" s="279"/>
      <c r="E37" s="386" t="s">
        <v>293</v>
      </c>
      <c r="F37" s="416">
        <f>0.15*2</f>
        <v>0.3</v>
      </c>
      <c r="G37" s="389"/>
      <c r="H37" s="389"/>
      <c r="I37" s="389">
        <f>'Chestnuts Machinery Cost'!M26+'Chestnuts Machinery Cost'!I26</f>
        <v>0.92489999999999983</v>
      </c>
      <c r="J37" s="389">
        <f>'Chestnuts Machinery Cost'!H26</f>
        <v>3.7291935597518782</v>
      </c>
      <c r="K37" s="251">
        <f t="shared" si="10"/>
        <v>0.27746999999999994</v>
      </c>
      <c r="L37" s="251">
        <f t="shared" si="11"/>
        <v>1.1187580679255633</v>
      </c>
      <c r="M37" s="4" t="s">
        <v>49</v>
      </c>
      <c r="N37" s="4"/>
      <c r="O37" s="1"/>
      <c r="P37" s="279"/>
      <c r="Q37" s="279"/>
      <c r="R37" s="279"/>
      <c r="S37" s="279"/>
    </row>
    <row r="38" spans="1:31" ht="15.6" x14ac:dyDescent="0.3">
      <c r="A38" s="279"/>
      <c r="B38" s="279"/>
      <c r="C38" s="279"/>
      <c r="D38" s="279"/>
      <c r="E38" s="386" t="s">
        <v>50</v>
      </c>
      <c r="F38" s="416">
        <v>0.15</v>
      </c>
      <c r="G38" s="399">
        <v>30</v>
      </c>
      <c r="H38" s="389"/>
      <c r="I38" s="389">
        <f>I36</f>
        <v>15.177194999999999</v>
      </c>
      <c r="J38" s="389">
        <f>J36</f>
        <v>8.0270372916653354</v>
      </c>
      <c r="K38" s="251">
        <f t="shared" si="10"/>
        <v>6.7765792499999993</v>
      </c>
      <c r="L38" s="251">
        <f t="shared" si="11"/>
        <v>1.2040555937498003</v>
      </c>
      <c r="M38" s="4"/>
      <c r="N38" s="4"/>
      <c r="O38" s="1"/>
      <c r="P38" s="279"/>
      <c r="Q38" s="279"/>
      <c r="R38" s="279"/>
      <c r="S38" s="279"/>
    </row>
    <row r="39" spans="1:31" ht="15.6" x14ac:dyDescent="0.3">
      <c r="A39" s="279"/>
      <c r="B39" s="279"/>
      <c r="C39" s="279"/>
      <c r="D39" s="279"/>
      <c r="E39" s="386" t="s">
        <v>48</v>
      </c>
      <c r="F39" s="416">
        <v>0.15</v>
      </c>
      <c r="G39" s="389"/>
      <c r="H39" s="389"/>
      <c r="I39" s="389">
        <f>I37</f>
        <v>0.92489999999999983</v>
      </c>
      <c r="J39" s="389">
        <f>J44</f>
        <v>3.3216905146525328</v>
      </c>
      <c r="K39" s="251">
        <f t="shared" si="10"/>
        <v>0.13873499999999997</v>
      </c>
      <c r="L39" s="251">
        <f t="shared" si="11"/>
        <v>0.49825357719787988</v>
      </c>
      <c r="M39" s="4"/>
      <c r="N39" s="4"/>
      <c r="O39" s="1"/>
      <c r="P39" s="279"/>
      <c r="Q39" s="279"/>
      <c r="R39" s="279"/>
      <c r="S39" s="279"/>
    </row>
    <row r="40" spans="1:31" ht="15.6" x14ac:dyDescent="0.3">
      <c r="A40" s="279"/>
      <c r="B40" s="279"/>
      <c r="C40" s="279"/>
      <c r="D40" s="279"/>
      <c r="E40" s="386" t="s">
        <v>291</v>
      </c>
      <c r="F40" s="400"/>
      <c r="G40" s="389"/>
      <c r="H40" s="417">
        <f>100*0.6</f>
        <v>60</v>
      </c>
      <c r="I40" s="389"/>
      <c r="J40" s="389"/>
      <c r="K40" s="251">
        <f t="shared" si="10"/>
        <v>60</v>
      </c>
      <c r="L40" s="251">
        <f t="shared" si="11"/>
        <v>0</v>
      </c>
      <c r="M40" s="4"/>
      <c r="N40" s="4"/>
      <c r="O40" s="1"/>
      <c r="P40" s="279"/>
      <c r="Q40" s="279"/>
      <c r="R40" s="279"/>
      <c r="S40" s="279"/>
    </row>
    <row r="41" spans="1:31" s="102" customFormat="1" ht="15.6" x14ac:dyDescent="0.3">
      <c r="A41" s="279"/>
      <c r="B41" s="279"/>
      <c r="C41" s="279"/>
      <c r="D41" s="279"/>
      <c r="E41" s="386" t="s">
        <v>292</v>
      </c>
      <c r="F41" s="400"/>
      <c r="G41" s="389"/>
      <c r="H41" s="417">
        <f>84*0.7</f>
        <v>58.8</v>
      </c>
      <c r="I41" s="389"/>
      <c r="J41" s="389"/>
      <c r="K41" s="251">
        <f t="shared" si="10"/>
        <v>58.8</v>
      </c>
      <c r="L41" s="251">
        <f t="shared" si="11"/>
        <v>0</v>
      </c>
      <c r="M41" s="4"/>
      <c r="N41" s="4"/>
      <c r="O41" s="103"/>
      <c r="P41" s="279"/>
      <c r="Q41" s="279"/>
      <c r="R41" s="279"/>
      <c r="S41" s="279"/>
      <c r="T41" s="278"/>
      <c r="U41" s="278"/>
      <c r="V41" s="278"/>
      <c r="W41" s="278"/>
      <c r="X41" s="278"/>
      <c r="Y41" s="278"/>
      <c r="Z41" s="278"/>
      <c r="AA41" s="278"/>
      <c r="AB41" s="278"/>
      <c r="AC41" s="278"/>
      <c r="AD41" s="278"/>
      <c r="AE41" s="278"/>
    </row>
    <row r="42" spans="1:31" ht="15.6" x14ac:dyDescent="0.3">
      <c r="A42" s="279"/>
      <c r="B42" s="279"/>
      <c r="C42" s="279"/>
      <c r="D42" s="279"/>
      <c r="E42" s="386" t="s">
        <v>302</v>
      </c>
      <c r="F42" s="400"/>
      <c r="G42" s="389"/>
      <c r="H42" s="417">
        <f>108*0.5</f>
        <v>54</v>
      </c>
      <c r="I42" s="389"/>
      <c r="J42" s="389"/>
      <c r="K42" s="251">
        <f t="shared" si="10"/>
        <v>54</v>
      </c>
      <c r="L42" s="251">
        <f t="shared" si="11"/>
        <v>0</v>
      </c>
      <c r="M42" s="4"/>
      <c r="N42" s="4"/>
      <c r="O42" s="1"/>
      <c r="P42" s="279"/>
      <c r="Q42" s="279"/>
      <c r="R42" s="279"/>
      <c r="S42" s="279"/>
    </row>
    <row r="43" spans="1:31" ht="15.6" x14ac:dyDescent="0.3">
      <c r="A43" s="279"/>
      <c r="B43" s="279"/>
      <c r="C43" s="279"/>
      <c r="D43" s="279"/>
      <c r="E43" s="418" t="s">
        <v>275</v>
      </c>
      <c r="F43" s="387">
        <v>0</v>
      </c>
      <c r="G43" s="399">
        <v>30</v>
      </c>
      <c r="H43" s="389"/>
      <c r="I43" s="389">
        <f>I38</f>
        <v>15.177194999999999</v>
      </c>
      <c r="J43" s="389">
        <f>J38</f>
        <v>8.0270372916653354</v>
      </c>
      <c r="K43" s="251">
        <f t="shared" si="10"/>
        <v>0</v>
      </c>
      <c r="L43" s="251">
        <f t="shared" si="11"/>
        <v>0</v>
      </c>
      <c r="M43" s="4"/>
      <c r="N43" s="4"/>
      <c r="O43" s="1"/>
      <c r="P43" s="279"/>
      <c r="Q43" s="279"/>
      <c r="R43" s="279"/>
      <c r="S43" s="279"/>
    </row>
    <row r="44" spans="1:31" ht="15.6" x14ac:dyDescent="0.3">
      <c r="A44" s="279"/>
      <c r="B44" s="279"/>
      <c r="C44" s="279"/>
      <c r="D44" s="279"/>
      <c r="E44" s="386" t="s">
        <v>48</v>
      </c>
      <c r="F44" s="387">
        <v>0</v>
      </c>
      <c r="G44" s="389"/>
      <c r="H44" s="389"/>
      <c r="I44" s="389">
        <f>I39</f>
        <v>0.92489999999999983</v>
      </c>
      <c r="J44" s="389">
        <v>3.3216905146525328</v>
      </c>
      <c r="K44" s="251">
        <f t="shared" si="10"/>
        <v>0</v>
      </c>
      <c r="L44" s="251">
        <f t="shared" si="11"/>
        <v>0</v>
      </c>
      <c r="M44" s="4"/>
      <c r="N44" s="4"/>
      <c r="O44" s="1"/>
      <c r="P44" s="279"/>
      <c r="Q44" s="279"/>
      <c r="R44" s="279"/>
      <c r="S44" s="279"/>
    </row>
    <row r="45" spans="1:31" ht="15.6" x14ac:dyDescent="0.3">
      <c r="A45" s="279"/>
      <c r="B45" s="279"/>
      <c r="C45" s="279"/>
      <c r="D45" s="279"/>
      <c r="E45" s="390"/>
      <c r="F45" s="401"/>
      <c r="G45" s="393"/>
      <c r="H45" s="402"/>
      <c r="I45" s="393"/>
      <c r="J45" s="393"/>
      <c r="K45" s="251">
        <f t="shared" si="10"/>
        <v>0</v>
      </c>
      <c r="L45" s="251">
        <f t="shared" si="11"/>
        <v>0</v>
      </c>
      <c r="M45" s="4"/>
      <c r="N45" s="4"/>
      <c r="O45" s="1"/>
      <c r="P45" s="279"/>
      <c r="Q45" s="279"/>
      <c r="R45" s="279"/>
      <c r="S45" s="279"/>
    </row>
    <row r="46" spans="1:31" ht="15.6" x14ac:dyDescent="0.3">
      <c r="A46" s="279"/>
      <c r="B46" s="279"/>
      <c r="C46" s="279"/>
      <c r="D46" s="279"/>
      <c r="E46" s="398" t="s">
        <v>4</v>
      </c>
      <c r="F46" s="410"/>
      <c r="G46" s="396"/>
      <c r="H46" s="396"/>
      <c r="I46" s="396"/>
      <c r="J46" s="396"/>
      <c r="K46" s="256">
        <f>SUM(K36:K45)</f>
        <v>186.7693635</v>
      </c>
      <c r="L46" s="255">
        <f>SUM(L36:L45)</f>
        <v>4.0251228326230439</v>
      </c>
      <c r="M46" s="4"/>
      <c r="N46" s="4"/>
      <c r="O46" s="1"/>
      <c r="P46" s="279"/>
      <c r="Q46" s="279"/>
      <c r="R46" s="279"/>
      <c r="S46" s="279"/>
    </row>
    <row r="47" spans="1:31" ht="15.6" x14ac:dyDescent="0.3">
      <c r="A47" s="279"/>
      <c r="B47" s="279"/>
      <c r="C47" s="279"/>
      <c r="D47" s="279"/>
      <c r="E47" s="394"/>
      <c r="F47" s="419"/>
      <c r="G47" s="420"/>
      <c r="H47" s="373">
        <v>0</v>
      </c>
      <c r="I47" s="420"/>
      <c r="J47" s="420"/>
      <c r="K47" s="251">
        <f t="shared" ref="K47:K49" si="12">(F47*G47)+(F47*I47)+H47</f>
        <v>0</v>
      </c>
      <c r="L47" s="251">
        <f t="shared" ref="L47:L49" si="13">(F47*J47)</f>
        <v>0</v>
      </c>
      <c r="M47" s="4"/>
      <c r="N47" s="4"/>
      <c r="O47" s="1"/>
      <c r="P47" s="279"/>
      <c r="Q47" s="279"/>
      <c r="R47" s="279"/>
      <c r="S47" s="279"/>
    </row>
    <row r="48" spans="1:31" ht="15.6" x14ac:dyDescent="0.3">
      <c r="A48" s="279"/>
      <c r="B48" s="279"/>
      <c r="C48" s="279"/>
      <c r="D48" s="279"/>
      <c r="E48" s="394"/>
      <c r="F48" s="419"/>
      <c r="G48" s="420"/>
      <c r="H48" s="373">
        <v>0</v>
      </c>
      <c r="I48" s="420"/>
      <c r="J48" s="420"/>
      <c r="K48" s="251">
        <f t="shared" si="12"/>
        <v>0</v>
      </c>
      <c r="L48" s="251">
        <f t="shared" si="13"/>
        <v>0</v>
      </c>
      <c r="M48" s="4"/>
      <c r="N48" s="4"/>
      <c r="O48" s="1"/>
      <c r="P48" s="279"/>
      <c r="Q48" s="279"/>
      <c r="R48" s="279"/>
      <c r="S48" s="279"/>
    </row>
    <row r="49" spans="1:31" ht="15.6" x14ac:dyDescent="0.3">
      <c r="A49" s="279"/>
      <c r="B49" s="279"/>
      <c r="C49" s="279"/>
      <c r="D49" s="279"/>
      <c r="E49" s="394" t="s">
        <v>273</v>
      </c>
      <c r="F49" s="387">
        <v>1</v>
      </c>
      <c r="G49" s="420"/>
      <c r="H49" s="420"/>
      <c r="I49" s="373">
        <v>20</v>
      </c>
      <c r="J49" s="373">
        <v>4</v>
      </c>
      <c r="K49" s="251">
        <f t="shared" si="12"/>
        <v>20</v>
      </c>
      <c r="L49" s="251">
        <f t="shared" si="13"/>
        <v>4</v>
      </c>
      <c r="M49" s="4"/>
      <c r="N49" s="4"/>
      <c r="O49" s="1"/>
      <c r="P49" s="279"/>
      <c r="Q49" s="279"/>
      <c r="R49" s="279"/>
      <c r="S49" s="279"/>
    </row>
    <row r="50" spans="1:31" ht="15.6" x14ac:dyDescent="0.3">
      <c r="A50" s="279"/>
      <c r="B50" s="279"/>
      <c r="C50" s="279"/>
      <c r="D50" s="279"/>
      <c r="E50" s="398"/>
      <c r="F50" s="395"/>
      <c r="G50" s="396"/>
      <c r="H50" s="396"/>
      <c r="I50" s="396"/>
      <c r="J50" s="396"/>
      <c r="K50" s="254"/>
      <c r="L50" s="255"/>
      <c r="M50" s="4"/>
      <c r="N50" s="4"/>
      <c r="O50" s="1"/>
      <c r="P50" s="279"/>
      <c r="Q50" s="279"/>
      <c r="R50" s="279"/>
      <c r="S50" s="279"/>
    </row>
    <row r="51" spans="1:31" ht="15.6" x14ac:dyDescent="0.3">
      <c r="A51" s="279"/>
      <c r="B51" s="279"/>
      <c r="C51" s="279"/>
      <c r="D51" s="279"/>
      <c r="E51" s="398" t="s">
        <v>58</v>
      </c>
      <c r="F51" s="410"/>
      <c r="G51" s="396"/>
      <c r="H51" s="396"/>
      <c r="I51" s="396"/>
      <c r="J51" s="396"/>
      <c r="K51" s="256">
        <f>SUM(K49+K48+K47+K46+K34+K29+K24+K16+K12)</f>
        <v>823.17659033818813</v>
      </c>
      <c r="L51" s="256">
        <f>SUM(L49+L48+L47+L46+L34+L29+L24+L16+L12)</f>
        <v>296.77458252546467</v>
      </c>
      <c r="M51" s="4"/>
      <c r="N51" s="4"/>
      <c r="O51" s="1"/>
      <c r="P51" s="279"/>
      <c r="Q51" s="279"/>
      <c r="R51" s="279"/>
      <c r="S51" s="279"/>
    </row>
    <row r="52" spans="1:31" ht="15.6" x14ac:dyDescent="0.3">
      <c r="A52" s="279"/>
      <c r="B52" s="279"/>
      <c r="C52" s="279"/>
      <c r="D52" s="279"/>
      <c r="E52" s="421"/>
      <c r="F52" s="395"/>
      <c r="G52" s="396"/>
      <c r="H52" s="396"/>
      <c r="I52" s="396"/>
      <c r="J52" s="396"/>
      <c r="K52" s="254"/>
      <c r="L52" s="255"/>
      <c r="M52" s="4"/>
      <c r="N52" s="4"/>
      <c r="O52" s="1"/>
      <c r="P52" s="279"/>
      <c r="Q52" s="279"/>
      <c r="R52" s="279"/>
      <c r="S52" s="279"/>
    </row>
    <row r="53" spans="1:31" ht="15.6" x14ac:dyDescent="0.3">
      <c r="A53" s="279"/>
      <c r="B53" s="279"/>
      <c r="C53" s="279"/>
      <c r="D53" s="279"/>
      <c r="E53" s="394" t="s">
        <v>59</v>
      </c>
      <c r="F53" s="395"/>
      <c r="G53" s="396"/>
      <c r="H53" s="396"/>
      <c r="I53" s="396"/>
      <c r="J53" s="396"/>
      <c r="K53" s="254"/>
      <c r="L53" s="255"/>
      <c r="M53" s="4"/>
      <c r="N53" s="4"/>
      <c r="O53" s="1"/>
      <c r="P53" s="279"/>
      <c r="Q53" s="279"/>
      <c r="R53" s="279"/>
      <c r="S53" s="279"/>
    </row>
    <row r="54" spans="1:31" s="278" customFormat="1" ht="15.6" x14ac:dyDescent="0.3">
      <c r="A54" s="279"/>
      <c r="B54" s="279"/>
      <c r="C54" s="279"/>
      <c r="D54" s="279"/>
      <c r="E54" s="403" t="str">
        <f>E26</f>
        <v>85 HP Tractor</v>
      </c>
      <c r="F54" s="422">
        <v>0</v>
      </c>
      <c r="G54" s="399">
        <v>0</v>
      </c>
      <c r="H54" s="384"/>
      <c r="I54" s="384">
        <f>I26</f>
        <v>21.082874639423078</v>
      </c>
      <c r="J54" s="384">
        <f>J26</f>
        <v>12.183432823773412</v>
      </c>
      <c r="K54" s="251">
        <f t="shared" ref="K54:K59" si="14">(F54*G54)+(F54*I54)+H54</f>
        <v>0</v>
      </c>
      <c r="L54" s="251">
        <f t="shared" ref="L54:L59" si="15">(F54*J54)</f>
        <v>0</v>
      </c>
      <c r="M54" s="281"/>
      <c r="N54" s="281"/>
      <c r="O54" s="279"/>
      <c r="P54" s="279"/>
      <c r="Q54" s="279"/>
      <c r="R54" s="279"/>
      <c r="S54" s="279"/>
    </row>
    <row r="55" spans="1:31" s="278" customFormat="1" ht="15.6" x14ac:dyDescent="0.3">
      <c r="A55" s="279"/>
      <c r="B55" s="279"/>
      <c r="C55" s="279"/>
      <c r="D55" s="279"/>
      <c r="E55" s="406" t="str">
        <f>E27</f>
        <v>Orchard Sprayer</v>
      </c>
      <c r="F55" s="422">
        <v>0</v>
      </c>
      <c r="G55" s="389"/>
      <c r="H55" s="389"/>
      <c r="I55" s="389">
        <f>I27</f>
        <v>9.7473167832167835</v>
      </c>
      <c r="J55" s="389">
        <f>J27</f>
        <v>12.649268698465464</v>
      </c>
      <c r="K55" s="251">
        <f t="shared" si="14"/>
        <v>0</v>
      </c>
      <c r="L55" s="251">
        <f t="shared" si="15"/>
        <v>0</v>
      </c>
      <c r="M55" s="281"/>
      <c r="N55" s="281"/>
      <c r="O55" s="279"/>
      <c r="P55" s="279"/>
      <c r="Q55" s="279"/>
      <c r="R55" s="279"/>
      <c r="S55" s="279"/>
    </row>
    <row r="56" spans="1:31" s="278" customFormat="1" ht="15.6" x14ac:dyDescent="0.3">
      <c r="A56" s="279"/>
      <c r="B56" s="279"/>
      <c r="C56" s="279"/>
      <c r="D56" s="279"/>
      <c r="E56" s="408"/>
      <c r="F56" s="422"/>
      <c r="G56" s="393"/>
      <c r="H56" s="399">
        <v>0</v>
      </c>
      <c r="I56" s="393"/>
      <c r="J56" s="393"/>
      <c r="K56" s="251">
        <f t="shared" si="14"/>
        <v>0</v>
      </c>
      <c r="L56" s="251">
        <f t="shared" si="15"/>
        <v>0</v>
      </c>
      <c r="M56" s="281"/>
      <c r="N56" s="281"/>
      <c r="O56" s="279"/>
      <c r="P56" s="279"/>
      <c r="Q56" s="279"/>
      <c r="R56" s="279"/>
      <c r="S56" s="279"/>
    </row>
    <row r="57" spans="1:31" s="102" customFormat="1" ht="15.6" x14ac:dyDescent="0.3">
      <c r="A57" s="279"/>
      <c r="B57" s="279"/>
      <c r="C57" s="279"/>
      <c r="D57" s="279"/>
      <c r="E57" s="408" t="s">
        <v>283</v>
      </c>
      <c r="F57" s="419"/>
      <c r="G57" s="420"/>
      <c r="H57" s="373"/>
      <c r="I57" s="420"/>
      <c r="J57" s="420"/>
      <c r="K57" s="251">
        <f t="shared" si="14"/>
        <v>0</v>
      </c>
      <c r="L57" s="251">
        <f t="shared" si="15"/>
        <v>0</v>
      </c>
      <c r="M57" s="4"/>
      <c r="N57" s="4"/>
      <c r="O57" s="103"/>
      <c r="P57" s="279"/>
      <c r="Q57" s="279"/>
      <c r="R57" s="279"/>
      <c r="S57" s="279"/>
      <c r="T57" s="278"/>
      <c r="U57" s="278"/>
      <c r="V57" s="278"/>
      <c r="W57" s="278"/>
      <c r="X57" s="278"/>
      <c r="Y57" s="278"/>
      <c r="Z57" s="278"/>
      <c r="AA57" s="278"/>
      <c r="AB57" s="278"/>
      <c r="AC57" s="278"/>
      <c r="AD57" s="278"/>
      <c r="AE57" s="278"/>
    </row>
    <row r="58" spans="1:31" s="102" customFormat="1" ht="15.6" x14ac:dyDescent="0.3">
      <c r="A58" s="279"/>
      <c r="B58" s="279"/>
      <c r="C58" s="279"/>
      <c r="D58" s="279"/>
      <c r="E58" s="408" t="s">
        <v>288</v>
      </c>
      <c r="F58" s="419"/>
      <c r="G58" s="420"/>
      <c r="H58" s="373"/>
      <c r="I58" s="420"/>
      <c r="J58" s="420"/>
      <c r="K58" s="251">
        <f t="shared" si="14"/>
        <v>0</v>
      </c>
      <c r="L58" s="251">
        <f t="shared" si="15"/>
        <v>0</v>
      </c>
      <c r="M58" s="4"/>
      <c r="N58" s="4"/>
      <c r="O58" s="103"/>
      <c r="P58" s="279"/>
      <c r="Q58" s="279"/>
      <c r="R58" s="279"/>
      <c r="S58" s="279"/>
      <c r="T58" s="278"/>
      <c r="U58" s="278"/>
      <c r="V58" s="278"/>
      <c r="W58" s="278"/>
      <c r="X58" s="278"/>
      <c r="Y58" s="278"/>
      <c r="Z58" s="278"/>
      <c r="AA58" s="278"/>
      <c r="AB58" s="278"/>
      <c r="AC58" s="278"/>
      <c r="AD58" s="278"/>
      <c r="AE58" s="278"/>
    </row>
    <row r="59" spans="1:31" s="102" customFormat="1" ht="15.6" x14ac:dyDescent="0.3">
      <c r="A59" s="279"/>
      <c r="B59" s="279"/>
      <c r="C59" s="279"/>
      <c r="D59" s="279"/>
      <c r="E59" s="408" t="s">
        <v>303</v>
      </c>
      <c r="F59" s="419"/>
      <c r="G59" s="420"/>
      <c r="H59" s="373">
        <v>35</v>
      </c>
      <c r="I59" s="420"/>
      <c r="J59" s="420"/>
      <c r="K59" s="251">
        <f t="shared" si="14"/>
        <v>35</v>
      </c>
      <c r="L59" s="251">
        <f t="shared" si="15"/>
        <v>0</v>
      </c>
      <c r="M59" s="4"/>
      <c r="N59" s="4"/>
      <c r="O59" s="103"/>
      <c r="P59" s="279"/>
      <c r="Q59" s="279"/>
      <c r="R59" s="279"/>
      <c r="S59" s="279"/>
      <c r="T59" s="278"/>
      <c r="U59" s="278"/>
      <c r="V59" s="278"/>
      <c r="W59" s="278"/>
      <c r="X59" s="278"/>
      <c r="Y59" s="278"/>
      <c r="Z59" s="278"/>
      <c r="AA59" s="278"/>
      <c r="AB59" s="278"/>
      <c r="AC59" s="278"/>
      <c r="AD59" s="278"/>
      <c r="AE59" s="278"/>
    </row>
    <row r="60" spans="1:31" s="102" customFormat="1" ht="15.6" x14ac:dyDescent="0.3">
      <c r="A60" s="279"/>
      <c r="B60" s="279"/>
      <c r="C60" s="279"/>
      <c r="D60" s="279"/>
      <c r="E60" s="408" t="s">
        <v>299</v>
      </c>
      <c r="F60" s="419">
        <f>200/45*3.5/10</f>
        <v>1.5555555555555558</v>
      </c>
      <c r="G60" s="420">
        <v>15</v>
      </c>
      <c r="H60" s="373"/>
      <c r="I60" s="420"/>
      <c r="J60" s="420"/>
      <c r="K60" s="251">
        <f t="shared" ref="K60:K63" si="16">(F60*G60)+(F60*I60)+H60</f>
        <v>23.333333333333336</v>
      </c>
      <c r="L60" s="251">
        <f t="shared" ref="L60:L63" si="17">(F60*J60)</f>
        <v>0</v>
      </c>
      <c r="M60" s="4"/>
      <c r="N60" s="4"/>
      <c r="O60" s="103"/>
      <c r="P60" s="279"/>
      <c r="Q60" s="279"/>
      <c r="R60" s="279"/>
      <c r="S60" s="279"/>
      <c r="T60" s="278"/>
      <c r="U60" s="278"/>
      <c r="V60" s="278"/>
      <c r="W60" s="278"/>
      <c r="X60" s="278"/>
      <c r="Y60" s="278"/>
      <c r="Z60" s="278"/>
      <c r="AA60" s="278"/>
      <c r="AB60" s="278"/>
      <c r="AC60" s="278"/>
      <c r="AD60" s="278"/>
      <c r="AE60" s="278"/>
    </row>
    <row r="61" spans="1:31" s="102" customFormat="1" ht="15.6" x14ac:dyDescent="0.3">
      <c r="A61" s="279"/>
      <c r="B61" s="279"/>
      <c r="C61" s="279"/>
      <c r="D61" s="279"/>
      <c r="E61" s="408" t="s">
        <v>298</v>
      </c>
      <c r="F61" s="423">
        <f>3.5*100*2*0.8/10</f>
        <v>56</v>
      </c>
      <c r="G61" s="424">
        <v>1</v>
      </c>
      <c r="H61" s="373"/>
      <c r="I61" s="420"/>
      <c r="J61" s="420"/>
      <c r="K61" s="251">
        <f t="shared" si="16"/>
        <v>56</v>
      </c>
      <c r="L61" s="251">
        <f t="shared" si="17"/>
        <v>0</v>
      </c>
      <c r="M61" s="4"/>
      <c r="N61" s="4"/>
      <c r="O61" s="103"/>
      <c r="P61" s="279"/>
      <c r="Q61" s="279"/>
      <c r="R61" s="279"/>
      <c r="S61" s="279"/>
      <c r="T61" s="278"/>
      <c r="U61" s="278"/>
      <c r="V61" s="278"/>
      <c r="W61" s="278"/>
      <c r="X61" s="278"/>
      <c r="Y61" s="278"/>
      <c r="Z61" s="278"/>
      <c r="AA61" s="278"/>
      <c r="AB61" s="278"/>
      <c r="AC61" s="278"/>
      <c r="AD61" s="278"/>
      <c r="AE61" s="278"/>
    </row>
    <row r="62" spans="1:31" s="102" customFormat="1" ht="15.6" x14ac:dyDescent="0.3">
      <c r="A62" s="279"/>
      <c r="B62" s="279"/>
      <c r="C62" s="279"/>
      <c r="D62" s="279"/>
      <c r="E62" s="408" t="s">
        <v>343</v>
      </c>
      <c r="F62" s="419"/>
      <c r="G62" s="420"/>
      <c r="H62" s="373"/>
      <c r="I62" s="420"/>
      <c r="J62" s="420"/>
      <c r="K62" s="251">
        <f t="shared" si="16"/>
        <v>0</v>
      </c>
      <c r="L62" s="251">
        <f t="shared" si="17"/>
        <v>0</v>
      </c>
      <c r="M62" s="4"/>
      <c r="N62" s="4"/>
      <c r="O62" s="103"/>
      <c r="P62" s="279"/>
      <c r="Q62" s="279"/>
      <c r="R62" s="279"/>
      <c r="S62" s="279"/>
      <c r="T62" s="278"/>
      <c r="U62" s="278"/>
      <c r="V62" s="278"/>
      <c r="W62" s="278"/>
      <c r="X62" s="278"/>
      <c r="Y62" s="278"/>
      <c r="Z62" s="278"/>
      <c r="AA62" s="278"/>
      <c r="AB62" s="278"/>
      <c r="AC62" s="278"/>
      <c r="AD62" s="278"/>
      <c r="AE62" s="278"/>
    </row>
    <row r="63" spans="1:31" s="102" customFormat="1" ht="15.6" x14ac:dyDescent="0.3">
      <c r="A63" s="279"/>
      <c r="B63" s="279"/>
      <c r="C63" s="279"/>
      <c r="D63" s="279"/>
      <c r="E63" s="425" t="s">
        <v>297</v>
      </c>
      <c r="F63" s="419"/>
      <c r="G63" s="420"/>
      <c r="H63" s="373"/>
      <c r="I63" s="420"/>
      <c r="J63" s="420"/>
      <c r="K63" s="251">
        <f t="shared" si="16"/>
        <v>0</v>
      </c>
      <c r="L63" s="251">
        <f t="shared" si="17"/>
        <v>0</v>
      </c>
      <c r="M63" s="4"/>
      <c r="N63" s="4"/>
      <c r="O63" s="103"/>
      <c r="P63" s="279"/>
      <c r="Q63" s="279"/>
      <c r="R63" s="279"/>
      <c r="S63" s="279"/>
      <c r="T63" s="278"/>
      <c r="U63" s="278"/>
      <c r="V63" s="278"/>
      <c r="W63" s="278"/>
      <c r="X63" s="278"/>
      <c r="Y63" s="278"/>
      <c r="Z63" s="278"/>
      <c r="AA63" s="278"/>
      <c r="AB63" s="278"/>
      <c r="AC63" s="278"/>
      <c r="AD63" s="278"/>
      <c r="AE63" s="278"/>
    </row>
    <row r="64" spans="1:31" ht="15.6" x14ac:dyDescent="0.3">
      <c r="A64" s="279"/>
      <c r="B64" s="279"/>
      <c r="C64" s="279"/>
      <c r="D64" s="279"/>
      <c r="E64" s="425" t="s">
        <v>295</v>
      </c>
      <c r="F64" s="422">
        <f>3.5*1.4</f>
        <v>4.8999999999999995</v>
      </c>
      <c r="G64" s="373">
        <v>30</v>
      </c>
      <c r="H64" s="420"/>
      <c r="I64" s="420">
        <f>'Chestnuts Machinery Cost'!M21+'Chestnuts Machinery Cost'!I21</f>
        <v>44.589999999999996</v>
      </c>
      <c r="J64" s="420">
        <f>'Chestnuts Machinery Cost'!H21</f>
        <v>135.97651637016881</v>
      </c>
      <c r="K64" s="251">
        <f t="shared" ref="K64:K68" si="18">(F64*G64)+(F64*I64)+H64</f>
        <v>365.49099999999993</v>
      </c>
      <c r="L64" s="251">
        <f t="shared" ref="L64:L68" si="19">(F64*J64)</f>
        <v>666.28493021382712</v>
      </c>
      <c r="M64" s="4" t="s">
        <v>64</v>
      </c>
      <c r="N64" s="4"/>
      <c r="O64" s="1"/>
      <c r="P64" s="279"/>
      <c r="Q64" s="279"/>
      <c r="R64" s="279"/>
      <c r="S64" s="279"/>
    </row>
    <row r="65" spans="1:31" s="102" customFormat="1" ht="15.6" x14ac:dyDescent="0.3">
      <c r="A65" s="279"/>
      <c r="B65" s="279"/>
      <c r="C65" s="279"/>
      <c r="D65" s="279"/>
      <c r="E65" s="425" t="s">
        <v>296</v>
      </c>
      <c r="F65" s="422">
        <v>0</v>
      </c>
      <c r="G65" s="373">
        <v>15</v>
      </c>
      <c r="H65" s="420"/>
      <c r="I65" s="420"/>
      <c r="J65" s="420"/>
      <c r="K65" s="251">
        <f t="shared" si="18"/>
        <v>0</v>
      </c>
      <c r="L65" s="251">
        <f t="shared" si="19"/>
        <v>0</v>
      </c>
      <c r="M65" s="4"/>
      <c r="N65" s="4"/>
      <c r="O65" s="103"/>
      <c r="P65" s="279"/>
      <c r="Q65" s="279"/>
      <c r="R65" s="279"/>
      <c r="S65" s="279"/>
      <c r="T65" s="278"/>
      <c r="U65" s="278"/>
      <c r="V65" s="278"/>
      <c r="W65" s="278"/>
      <c r="X65" s="278"/>
      <c r="Y65" s="278"/>
      <c r="Z65" s="278"/>
      <c r="AA65" s="278"/>
      <c r="AB65" s="278"/>
      <c r="AC65" s="278"/>
      <c r="AD65" s="278"/>
      <c r="AE65" s="278"/>
    </row>
    <row r="66" spans="1:31" ht="15.6" x14ac:dyDescent="0.3">
      <c r="A66" s="279"/>
      <c r="B66" s="279"/>
      <c r="C66" s="279"/>
      <c r="D66" s="279"/>
      <c r="E66" s="425" t="s">
        <v>36</v>
      </c>
      <c r="F66" s="426">
        <v>0</v>
      </c>
      <c r="G66" s="373">
        <v>15</v>
      </c>
      <c r="H66" s="420"/>
      <c r="I66" s="420">
        <f>I31</f>
        <v>21.268636562499999</v>
      </c>
      <c r="J66" s="420">
        <f>J26</f>
        <v>12.183432823773412</v>
      </c>
      <c r="K66" s="251">
        <f t="shared" si="18"/>
        <v>0</v>
      </c>
      <c r="L66" s="251">
        <f t="shared" si="19"/>
        <v>0</v>
      </c>
      <c r="M66" s="4" t="s">
        <v>66</v>
      </c>
      <c r="N66" s="4"/>
      <c r="O66" s="1"/>
      <c r="P66" s="279"/>
      <c r="Q66" s="279"/>
      <c r="R66" s="279"/>
      <c r="S66" s="279"/>
    </row>
    <row r="67" spans="1:31" ht="15.6" x14ac:dyDescent="0.3">
      <c r="A67" s="279"/>
      <c r="B67" s="279"/>
      <c r="C67" s="279"/>
      <c r="D67" s="279"/>
      <c r="E67" s="425" t="s">
        <v>67</v>
      </c>
      <c r="F67" s="426">
        <v>0</v>
      </c>
      <c r="G67" s="373">
        <v>15</v>
      </c>
      <c r="H67" s="420"/>
      <c r="I67" s="420">
        <f>I43</f>
        <v>15.177194999999999</v>
      </c>
      <c r="J67" s="420">
        <f>J43</f>
        <v>8.0270372916653354</v>
      </c>
      <c r="K67" s="251">
        <f t="shared" si="18"/>
        <v>0</v>
      </c>
      <c r="L67" s="251">
        <f t="shared" si="19"/>
        <v>0</v>
      </c>
      <c r="M67" s="4"/>
      <c r="N67" s="4"/>
      <c r="O67" s="1"/>
      <c r="P67" s="279"/>
      <c r="Q67" s="279"/>
      <c r="R67" s="279"/>
      <c r="S67" s="279"/>
    </row>
    <row r="68" spans="1:31" ht="15.6" x14ac:dyDescent="0.3">
      <c r="A68" s="279"/>
      <c r="B68" s="279"/>
      <c r="C68" s="279"/>
      <c r="D68" s="279"/>
      <c r="E68" s="425" t="s">
        <v>305</v>
      </c>
      <c r="F68" s="426">
        <v>4.9000000000000004</v>
      </c>
      <c r="G68" s="373">
        <v>15</v>
      </c>
      <c r="H68" s="420"/>
      <c r="I68" s="420">
        <f>I31</f>
        <v>21.268636562499999</v>
      </c>
      <c r="J68" s="420">
        <f>J31</f>
        <v>2.5430484523163881</v>
      </c>
      <c r="K68" s="251">
        <f t="shared" si="18"/>
        <v>177.71631915624999</v>
      </c>
      <c r="L68" s="251">
        <f t="shared" si="19"/>
        <v>12.460937416350303</v>
      </c>
      <c r="M68" s="4"/>
      <c r="N68" s="4"/>
      <c r="O68" s="1"/>
      <c r="P68" s="279"/>
      <c r="Q68" s="279"/>
      <c r="R68" s="279"/>
      <c r="S68" s="279"/>
    </row>
    <row r="69" spans="1:31" ht="15.6" x14ac:dyDescent="0.3">
      <c r="A69" s="279"/>
      <c r="B69" s="279"/>
      <c r="C69" s="279"/>
      <c r="D69" s="279"/>
      <c r="E69" s="425"/>
      <c r="F69" s="426">
        <v>0</v>
      </c>
      <c r="G69" s="373">
        <v>15</v>
      </c>
      <c r="H69" s="420"/>
      <c r="I69" s="420"/>
      <c r="J69" s="420"/>
      <c r="K69" s="251">
        <f t="shared" ref="K69:K72" si="20">(F69*G69)+(F69*I69)+H69</f>
        <v>0</v>
      </c>
      <c r="L69" s="251">
        <f t="shared" ref="L69:L72" si="21">(F69*J69)</f>
        <v>0</v>
      </c>
      <c r="M69" s="4"/>
      <c r="N69" s="4"/>
      <c r="O69" s="1"/>
      <c r="P69" s="279"/>
      <c r="Q69" s="279"/>
      <c r="R69" s="279"/>
      <c r="S69" s="279"/>
    </row>
    <row r="70" spans="1:31" ht="15.6" x14ac:dyDescent="0.3">
      <c r="A70" s="279"/>
      <c r="B70" s="279"/>
      <c r="C70" s="279"/>
      <c r="D70" s="279"/>
      <c r="E70" s="425"/>
      <c r="F70" s="427"/>
      <c r="G70" s="420"/>
      <c r="H70" s="420"/>
      <c r="I70" s="420"/>
      <c r="J70" s="420"/>
      <c r="K70" s="251">
        <f t="shared" si="20"/>
        <v>0</v>
      </c>
      <c r="L70" s="251">
        <f t="shared" si="21"/>
        <v>0</v>
      </c>
      <c r="M70" s="4"/>
      <c r="N70" s="4"/>
      <c r="O70" s="1"/>
      <c r="P70" s="279"/>
      <c r="Q70" s="279"/>
      <c r="R70" s="279"/>
      <c r="S70" s="279"/>
    </row>
    <row r="71" spans="1:31" ht="15.6" x14ac:dyDescent="0.3">
      <c r="A71" s="279"/>
      <c r="B71" s="279"/>
      <c r="C71" s="279"/>
      <c r="D71" s="279"/>
      <c r="E71" s="425"/>
      <c r="F71" s="427"/>
      <c r="G71" s="427"/>
      <c r="H71" s="420"/>
      <c r="I71" s="420"/>
      <c r="J71" s="420"/>
      <c r="K71" s="251">
        <f t="shared" si="20"/>
        <v>0</v>
      </c>
      <c r="L71" s="251">
        <f t="shared" si="21"/>
        <v>0</v>
      </c>
      <c r="M71" s="4"/>
      <c r="N71" s="4"/>
      <c r="O71" s="1"/>
      <c r="P71" s="279"/>
      <c r="Q71" s="279"/>
      <c r="R71" s="279"/>
      <c r="S71" s="279"/>
    </row>
    <row r="72" spans="1:31" ht="15.6" x14ac:dyDescent="0.3">
      <c r="A72" s="279"/>
      <c r="B72" s="279"/>
      <c r="C72" s="279"/>
      <c r="D72" s="279"/>
      <c r="E72" s="425"/>
      <c r="F72" s="427"/>
      <c r="G72" s="427"/>
      <c r="H72" s="420"/>
      <c r="I72" s="420"/>
      <c r="J72" s="420"/>
      <c r="K72" s="251">
        <f t="shared" si="20"/>
        <v>0</v>
      </c>
      <c r="L72" s="251">
        <f t="shared" si="21"/>
        <v>0</v>
      </c>
      <c r="M72" s="4"/>
      <c r="N72" s="4"/>
      <c r="O72" s="1"/>
      <c r="P72" s="279"/>
      <c r="Q72" s="279"/>
      <c r="R72" s="279"/>
      <c r="S72" s="279"/>
    </row>
    <row r="73" spans="1:31" ht="15.6" x14ac:dyDescent="0.3">
      <c r="A73" s="279"/>
      <c r="B73" s="279"/>
      <c r="C73" s="279"/>
      <c r="D73" s="279"/>
      <c r="E73" s="428" t="s">
        <v>4</v>
      </c>
      <c r="F73" s="429"/>
      <c r="G73" s="430"/>
      <c r="H73" s="396"/>
      <c r="I73" s="396"/>
      <c r="J73" s="397"/>
      <c r="K73" s="256">
        <f>SUM(K54:K72)</f>
        <v>657.54065248958318</v>
      </c>
      <c r="L73" s="256">
        <f>SUM(L54:L72)</f>
        <v>678.74586763017737</v>
      </c>
      <c r="M73" s="4"/>
      <c r="N73" s="4"/>
      <c r="O73" s="1"/>
      <c r="P73" s="279"/>
      <c r="Q73" s="279"/>
      <c r="R73" s="279"/>
      <c r="S73" s="279"/>
    </row>
    <row r="74" spans="1:31" ht="15.6" x14ac:dyDescent="0.3">
      <c r="A74" s="279"/>
      <c r="B74" s="279"/>
      <c r="C74" s="279"/>
      <c r="D74" s="279"/>
      <c r="E74" s="394" t="s">
        <v>73</v>
      </c>
      <c r="F74" s="426">
        <v>4</v>
      </c>
      <c r="G74" s="431">
        <v>33.770000000000003</v>
      </c>
      <c r="H74" s="420"/>
      <c r="I74" s="420"/>
      <c r="J74" s="420"/>
      <c r="K74" s="256">
        <f>(F74*G74)</f>
        <v>135.08000000000001</v>
      </c>
      <c r="L74" s="256">
        <v>0</v>
      </c>
      <c r="M74" s="4"/>
      <c r="N74" s="4"/>
      <c r="O74" s="1"/>
      <c r="P74" s="279"/>
      <c r="Q74" s="279"/>
      <c r="R74" s="279"/>
      <c r="S74" s="279"/>
    </row>
    <row r="75" spans="1:31" ht="15.6" x14ac:dyDescent="0.3">
      <c r="A75" s="279"/>
      <c r="B75" s="279"/>
      <c r="C75" s="279"/>
      <c r="D75" s="279"/>
      <c r="E75" s="236" t="s">
        <v>74</v>
      </c>
      <c r="F75" s="267"/>
      <c r="G75" s="268"/>
      <c r="H75" s="256"/>
      <c r="I75" s="256"/>
      <c r="J75" s="256"/>
      <c r="K75" s="256">
        <f>(((8/12)*K51)*0.08)+((2/12)*K73*0.08)</f>
        <v>52.669960184564474</v>
      </c>
      <c r="L75" s="256">
        <v>0</v>
      </c>
      <c r="M75" s="4"/>
      <c r="N75" s="4"/>
      <c r="O75" s="1"/>
      <c r="P75" s="279"/>
      <c r="Q75" s="279"/>
      <c r="R75" s="279"/>
      <c r="S75" s="279"/>
    </row>
    <row r="76" spans="1:31" s="102" customFormat="1" ht="15.6" x14ac:dyDescent="0.3">
      <c r="A76" s="279"/>
      <c r="B76" s="279"/>
      <c r="C76" s="279"/>
      <c r="D76" s="279"/>
      <c r="E76" s="236" t="s">
        <v>326</v>
      </c>
      <c r="F76" s="267"/>
      <c r="G76" s="268"/>
      <c r="H76" s="256"/>
      <c r="I76" s="256"/>
      <c r="J76" s="256"/>
      <c r="K76" s="256">
        <v>30</v>
      </c>
      <c r="L76" s="256">
        <v>0</v>
      </c>
      <c r="M76" s="4"/>
      <c r="N76" s="4"/>
      <c r="O76" s="103"/>
      <c r="P76" s="279"/>
      <c r="Q76" s="279"/>
      <c r="R76" s="279"/>
      <c r="S76" s="279"/>
      <c r="T76" s="278"/>
      <c r="U76" s="278"/>
      <c r="V76" s="278"/>
      <c r="W76" s="278"/>
      <c r="X76" s="278"/>
      <c r="Y76" s="278"/>
      <c r="Z76" s="278"/>
      <c r="AA76" s="278"/>
      <c r="AB76" s="278"/>
      <c r="AC76" s="278"/>
      <c r="AD76" s="278"/>
      <c r="AE76" s="278"/>
    </row>
    <row r="77" spans="1:31" ht="15.6" x14ac:dyDescent="0.3">
      <c r="A77" s="279"/>
      <c r="B77" s="279"/>
      <c r="C77" s="279"/>
      <c r="D77" s="279"/>
      <c r="E77" s="236" t="s">
        <v>312</v>
      </c>
      <c r="F77" s="267"/>
      <c r="G77" s="267"/>
      <c r="H77" s="256"/>
      <c r="I77" s="256"/>
      <c r="J77" s="256"/>
      <c r="K77" s="256">
        <v>0</v>
      </c>
      <c r="L77" s="256">
        <f>'Chestnuts Cost to Establish'!D9</f>
        <v>200</v>
      </c>
      <c r="M77" s="4"/>
      <c r="N77" s="4"/>
      <c r="O77" s="1"/>
      <c r="P77" s="279"/>
      <c r="Q77" s="279"/>
      <c r="R77" s="279"/>
      <c r="S77" s="279"/>
    </row>
    <row r="78" spans="1:31" ht="15.6" x14ac:dyDescent="0.3">
      <c r="A78" s="279"/>
      <c r="B78" s="279"/>
      <c r="C78" s="279"/>
      <c r="D78" s="279"/>
      <c r="E78" s="248" t="s">
        <v>76</v>
      </c>
      <c r="F78" s="265"/>
      <c r="G78" s="266"/>
      <c r="H78" s="254"/>
      <c r="I78" s="254"/>
      <c r="J78" s="255"/>
      <c r="K78" s="256">
        <f>SUM(K77+K75+K74+K73+K51)</f>
        <v>1668.4672030123359</v>
      </c>
      <c r="L78" s="255">
        <f>SUM(L77+L75+L74+L73+L51)</f>
        <v>1175.520450155642</v>
      </c>
      <c r="M78" s="4"/>
      <c r="N78" s="4"/>
      <c r="O78" s="1"/>
      <c r="P78" s="279"/>
      <c r="Q78" s="279"/>
      <c r="R78" s="279"/>
      <c r="S78" s="279"/>
    </row>
    <row r="79" spans="1:31" ht="15.6" x14ac:dyDescent="0.3">
      <c r="A79" s="279"/>
      <c r="B79" s="279"/>
      <c r="C79" s="279"/>
      <c r="D79" s="279"/>
      <c r="E79" s="246" t="s">
        <v>77</v>
      </c>
      <c r="F79" s="269"/>
      <c r="G79" s="270"/>
      <c r="H79" s="271"/>
      <c r="I79" s="271"/>
      <c r="J79" s="264"/>
      <c r="K79" s="272">
        <f>SUM(K78:L78)</f>
        <v>2843.9876531679779</v>
      </c>
      <c r="L79" s="264"/>
      <c r="M79" s="4"/>
      <c r="N79" s="4"/>
      <c r="O79" s="1"/>
      <c r="P79" s="279"/>
      <c r="Q79" s="279"/>
      <c r="R79" s="279"/>
      <c r="S79" s="279"/>
    </row>
    <row r="80" spans="1:31" s="278" customFormat="1" ht="15.6" x14ac:dyDescent="0.3">
      <c r="A80" s="279"/>
      <c r="B80" s="279"/>
      <c r="C80" s="279"/>
      <c r="D80" s="279"/>
      <c r="E80" s="281"/>
      <c r="F80" s="281"/>
      <c r="G80" s="281"/>
      <c r="H80" s="281"/>
      <c r="I80" s="281"/>
      <c r="J80" s="281"/>
      <c r="K80" s="281"/>
      <c r="L80" s="281"/>
      <c r="M80" s="281"/>
      <c r="N80" s="281"/>
      <c r="O80" s="279"/>
      <c r="P80" s="279"/>
      <c r="Q80" s="279"/>
      <c r="R80" s="279"/>
      <c r="S80" s="279"/>
    </row>
    <row r="81" spans="1:19" s="278" customFormat="1" ht="15.6" x14ac:dyDescent="0.3">
      <c r="A81" s="279"/>
      <c r="B81" s="279"/>
      <c r="C81" s="279"/>
      <c r="D81" s="279"/>
      <c r="E81" s="281"/>
      <c r="F81" s="281"/>
      <c r="G81" s="281"/>
      <c r="H81" s="281"/>
      <c r="I81" s="281"/>
      <c r="J81" s="281"/>
      <c r="K81" s="281"/>
      <c r="L81" s="281"/>
      <c r="M81" s="281"/>
      <c r="N81" s="281"/>
      <c r="O81" s="279"/>
      <c r="P81" s="279"/>
      <c r="Q81" s="279"/>
      <c r="R81" s="279"/>
      <c r="S81" s="279"/>
    </row>
    <row r="82" spans="1:19" s="278" customFormat="1" ht="15.6" x14ac:dyDescent="0.3">
      <c r="A82" s="279"/>
      <c r="B82" s="279"/>
      <c r="C82" s="279"/>
      <c r="D82" s="279"/>
      <c r="E82" s="281"/>
      <c r="F82" s="281"/>
      <c r="G82" s="281"/>
      <c r="H82" s="281"/>
      <c r="I82" s="281"/>
      <c r="J82" s="281"/>
      <c r="K82" s="281"/>
      <c r="L82" s="281"/>
      <c r="M82" s="281"/>
      <c r="N82" s="281"/>
      <c r="O82" s="279"/>
      <c r="P82" s="279"/>
      <c r="Q82" s="279"/>
      <c r="R82" s="279"/>
      <c r="S82" s="279"/>
    </row>
    <row r="83" spans="1:19" s="278" customFormat="1" ht="15.6" x14ac:dyDescent="0.3">
      <c r="A83" s="279"/>
      <c r="B83" s="279"/>
      <c r="C83" s="279"/>
      <c r="D83" s="279"/>
      <c r="E83" s="281"/>
      <c r="F83" s="281"/>
      <c r="G83" s="281"/>
      <c r="H83" s="281"/>
      <c r="I83" s="281"/>
      <c r="J83" s="281"/>
      <c r="K83" s="281"/>
      <c r="L83" s="281"/>
      <c r="M83" s="281"/>
      <c r="N83" s="281"/>
      <c r="O83" s="279"/>
      <c r="P83" s="279"/>
      <c r="Q83" s="279"/>
      <c r="R83" s="279"/>
      <c r="S83" s="279"/>
    </row>
    <row r="84" spans="1:19" s="278" customFormat="1" ht="15.6" x14ac:dyDescent="0.3">
      <c r="A84" s="279"/>
      <c r="B84" s="279"/>
      <c r="C84" s="279"/>
      <c r="D84" s="279"/>
      <c r="E84" s="279"/>
      <c r="F84" s="279"/>
      <c r="G84" s="279"/>
      <c r="H84" s="279"/>
      <c r="I84" s="279"/>
      <c r="J84" s="279"/>
      <c r="K84" s="279"/>
      <c r="L84" s="279"/>
      <c r="M84" s="281"/>
      <c r="N84" s="281"/>
      <c r="O84" s="279"/>
      <c r="P84" s="279"/>
      <c r="Q84" s="279"/>
      <c r="R84" s="279"/>
      <c r="S84" s="279"/>
    </row>
    <row r="85" spans="1:19" s="278" customFormat="1" ht="15.6" x14ac:dyDescent="0.3">
      <c r="A85" s="279"/>
      <c r="B85" s="279"/>
      <c r="C85" s="279"/>
      <c r="D85" s="279"/>
      <c r="M85" s="279"/>
      <c r="N85" s="279"/>
      <c r="O85" s="279"/>
      <c r="P85" s="279"/>
      <c r="Q85" s="279"/>
      <c r="R85" s="279"/>
      <c r="S85" s="279"/>
    </row>
    <row r="86" spans="1:19" s="278" customFormat="1" x14ac:dyDescent="0.3"/>
    <row r="87" spans="1:19" s="278" customFormat="1" x14ac:dyDescent="0.3"/>
    <row r="88" spans="1:19" s="278" customFormat="1" x14ac:dyDescent="0.3"/>
    <row r="89" spans="1:19" s="278" customFormat="1" x14ac:dyDescent="0.3"/>
    <row r="90" spans="1:19" s="278" customFormat="1" x14ac:dyDescent="0.3"/>
    <row r="91" spans="1:19" s="278" customFormat="1" x14ac:dyDescent="0.3"/>
    <row r="92" spans="1:19" s="278" customFormat="1" x14ac:dyDescent="0.3"/>
    <row r="93" spans="1:19" s="278" customFormat="1" x14ac:dyDescent="0.3"/>
    <row r="94" spans="1:19" s="278" customFormat="1" x14ac:dyDescent="0.3"/>
    <row r="95" spans="1:19" s="278" customFormat="1" x14ac:dyDescent="0.3"/>
    <row r="96" spans="1:19" s="278" customFormat="1" x14ac:dyDescent="0.3"/>
  </sheetData>
  <sheetProtection sheet="1" objects="1" scenarios="1"/>
  <mergeCells count="2">
    <mergeCell ref="E3:L3"/>
    <mergeCell ref="E2:L2"/>
  </mergeCells>
  <pageMargins left="0.74" right="0.24" top="0.24" bottom="0.17" header="0.17" footer="0.23"/>
  <pageSetup scale="71" orientation="portrait" r:id="rId1"/>
  <ignoredErrors>
    <ignoredError sqref="K4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3900D"/>
  </sheetPr>
  <dimension ref="A1:AF54"/>
  <sheetViews>
    <sheetView zoomScaleNormal="100" workbookViewId="0">
      <selection activeCell="D1" sqref="D1:N1"/>
    </sheetView>
  </sheetViews>
  <sheetFormatPr defaultRowHeight="14.4" x14ac:dyDescent="0.3"/>
  <cols>
    <col min="1" max="3" width="1.6640625" style="278" customWidth="1"/>
    <col min="4" max="4" width="27.33203125" customWidth="1"/>
    <col min="6" max="6" width="12.33203125" bestFit="1" customWidth="1"/>
    <col min="7" max="7" width="10.5546875" customWidth="1"/>
    <col min="8" max="8" width="12.33203125" customWidth="1"/>
    <col min="9" max="9" width="11.109375" bestFit="1" customWidth="1"/>
    <col min="10" max="11" width="9.33203125" bestFit="1" customWidth="1"/>
    <col min="12" max="12" width="11.109375" bestFit="1" customWidth="1"/>
    <col min="13" max="13" width="9.33203125" bestFit="1" customWidth="1"/>
    <col min="14" max="14" width="9.6640625" customWidth="1"/>
    <col min="15" max="15" width="11.6640625" style="278" customWidth="1"/>
    <col min="16" max="32" width="9.109375" style="278"/>
  </cols>
  <sheetData>
    <row r="1" spans="4:16" ht="18.600000000000001" thickBot="1" x14ac:dyDescent="0.4">
      <c r="D1" s="558" t="s">
        <v>322</v>
      </c>
      <c r="E1" s="559"/>
      <c r="F1" s="559"/>
      <c r="G1" s="559"/>
      <c r="H1" s="559"/>
      <c r="I1" s="559"/>
      <c r="J1" s="559"/>
      <c r="K1" s="559"/>
      <c r="L1" s="559"/>
      <c r="M1" s="559"/>
      <c r="N1" s="560"/>
    </row>
    <row r="2" spans="4:16" ht="61.2" thickBot="1" x14ac:dyDescent="0.35">
      <c r="D2" s="192" t="s">
        <v>212</v>
      </c>
      <c r="E2" s="193" t="s">
        <v>213</v>
      </c>
      <c r="F2" s="194" t="s">
        <v>287</v>
      </c>
      <c r="G2" s="194" t="s">
        <v>215</v>
      </c>
      <c r="H2" s="194" t="s">
        <v>216</v>
      </c>
      <c r="I2" s="194" t="s">
        <v>217</v>
      </c>
      <c r="J2" s="194" t="s">
        <v>218</v>
      </c>
      <c r="K2" s="194" t="s">
        <v>219</v>
      </c>
      <c r="L2" s="193" t="s">
        <v>220</v>
      </c>
      <c r="M2" s="193" t="s">
        <v>221</v>
      </c>
      <c r="N2" s="195" t="s">
        <v>222</v>
      </c>
      <c r="O2" s="346" t="s">
        <v>286</v>
      </c>
      <c r="P2" s="344">
        <v>1.4</v>
      </c>
    </row>
    <row r="3" spans="4:16" ht="15.6" x14ac:dyDescent="0.3">
      <c r="D3" s="196" t="s">
        <v>223</v>
      </c>
      <c r="E3" s="197" t="s">
        <v>285</v>
      </c>
      <c r="F3" s="300">
        <f t="shared" ref="F3:F13" si="0">O3*$P$2</f>
        <v>65653</v>
      </c>
      <c r="G3" s="301">
        <v>7</v>
      </c>
      <c r="H3" s="198">
        <f>0.15*F3</f>
        <v>9847.9499999999989</v>
      </c>
      <c r="I3" s="198">
        <f>H3/(1+J3)^G3</f>
        <v>6998.7542050549291</v>
      </c>
      <c r="J3" s="303">
        <v>0.05</v>
      </c>
      <c r="K3" s="198">
        <f>(F3-I3)/((1-(1/(1+J3)^G3))/J3)</f>
        <v>10136.616109379478</v>
      </c>
      <c r="L3" s="198">
        <f t="shared" ref="L3:L13" si="1">0.0025*F3</f>
        <v>164.13249999999999</v>
      </c>
      <c r="M3" s="198">
        <f>0*F3</f>
        <v>0</v>
      </c>
      <c r="N3" s="199">
        <f>K3+L3+M3*1.13</f>
        <v>10300.748609379478</v>
      </c>
      <c r="O3" s="300">
        <v>46895</v>
      </c>
    </row>
    <row r="4" spans="4:16" ht="15.6" x14ac:dyDescent="0.3">
      <c r="D4" s="196" t="s">
        <v>225</v>
      </c>
      <c r="E4" s="197" t="s">
        <v>285</v>
      </c>
      <c r="F4" s="300">
        <f t="shared" si="0"/>
        <v>45878</v>
      </c>
      <c r="G4" s="301">
        <v>6</v>
      </c>
      <c r="H4" s="198">
        <f>0.15*F4</f>
        <v>6881.7</v>
      </c>
      <c r="I4" s="198">
        <f t="shared" ref="I4:I11" si="2">H4/(1+J4)^G4</f>
        <v>5135.2304950342805</v>
      </c>
      <c r="J4" s="303">
        <v>0.05</v>
      </c>
      <c r="K4" s="198">
        <f>(F4-I4)/((1-(1/(1+J4)^G4))/J4)</f>
        <v>8027.037291665335</v>
      </c>
      <c r="L4" s="198">
        <f t="shared" si="1"/>
        <v>114.69500000000001</v>
      </c>
      <c r="M4" s="198">
        <f t="shared" ref="M4:M13" si="3">0*F4</f>
        <v>0</v>
      </c>
      <c r="N4" s="199">
        <f t="shared" ref="N4:N13" si="4">K4+L4+M4*1.13</f>
        <v>8141.7322916653347</v>
      </c>
      <c r="O4" s="300">
        <v>32770</v>
      </c>
    </row>
    <row r="5" spans="4:16" ht="15.6" x14ac:dyDescent="0.3">
      <c r="D5" s="196" t="s">
        <v>226</v>
      </c>
      <c r="E5" s="197" t="s">
        <v>285</v>
      </c>
      <c r="F5" s="300">
        <f t="shared" si="0"/>
        <v>11627.699999999999</v>
      </c>
      <c r="G5" s="301">
        <v>6</v>
      </c>
      <c r="H5" s="198">
        <f>0.15*F5</f>
        <v>1744.1549999999997</v>
      </c>
      <c r="I5" s="198">
        <f t="shared" si="2"/>
        <v>1301.5153151207571</v>
      </c>
      <c r="J5" s="303">
        <v>0.05</v>
      </c>
      <c r="K5" s="198">
        <f>(F5-I5)/((1-(1/(1+J5)^G5))/J5)</f>
        <v>2034.4387618531105</v>
      </c>
      <c r="L5" s="198">
        <f t="shared" si="1"/>
        <v>29.069249999999997</v>
      </c>
      <c r="M5" s="198">
        <f t="shared" si="3"/>
        <v>0</v>
      </c>
      <c r="N5" s="199">
        <f t="shared" si="4"/>
        <v>2063.5080118531105</v>
      </c>
      <c r="O5" s="300">
        <v>8305.5</v>
      </c>
    </row>
    <row r="6" spans="4:16" ht="15.6" x14ac:dyDescent="0.3">
      <c r="D6" s="363" t="s">
        <v>295</v>
      </c>
      <c r="E6" s="197" t="s">
        <v>285</v>
      </c>
      <c r="F6" s="300">
        <v>85000</v>
      </c>
      <c r="G6" s="301">
        <v>15</v>
      </c>
      <c r="H6" s="198">
        <v>30000</v>
      </c>
      <c r="I6" s="198">
        <f t="shared" si="2"/>
        <v>14430.512942729105</v>
      </c>
      <c r="J6" s="303">
        <v>0.05</v>
      </c>
      <c r="K6" s="198">
        <f t="shared" ref="K6:K13" si="5">(F6-I6)/((1-(1/(1+J6)^G6))/J6)</f>
        <v>6798.8258185084405</v>
      </c>
      <c r="L6" s="198">
        <f t="shared" si="1"/>
        <v>212.5</v>
      </c>
      <c r="M6" s="198">
        <f t="shared" si="3"/>
        <v>0</v>
      </c>
      <c r="N6" s="199">
        <f t="shared" si="4"/>
        <v>7011.3258185084405</v>
      </c>
      <c r="O6" s="300">
        <v>0</v>
      </c>
    </row>
    <row r="7" spans="4:16" ht="15.6" x14ac:dyDescent="0.3">
      <c r="D7" s="196" t="s">
        <v>227</v>
      </c>
      <c r="E7" s="197" t="s">
        <v>285</v>
      </c>
      <c r="F7" s="300">
        <f t="shared" si="0"/>
        <v>79100</v>
      </c>
      <c r="G7" s="301">
        <v>12.5</v>
      </c>
      <c r="H7" s="198">
        <f>((0.943-0.111*(G7^0.5))^2)*F7</f>
        <v>23976.12905725266</v>
      </c>
      <c r="I7" s="198">
        <f t="shared" si="2"/>
        <v>13029.052356222834</v>
      </c>
      <c r="J7" s="303">
        <v>0.05</v>
      </c>
      <c r="K7" s="198">
        <f>(F7-I7)/((1-(1/(1+J7)^G7))/J7)</f>
        <v>7235.3816955222455</v>
      </c>
      <c r="L7" s="198">
        <f>0.0025*F7</f>
        <v>197.75</v>
      </c>
      <c r="M7" s="198">
        <f t="shared" si="3"/>
        <v>0</v>
      </c>
      <c r="N7" s="199">
        <f t="shared" si="4"/>
        <v>7433.1316955222455</v>
      </c>
      <c r="O7" s="300">
        <v>56500</v>
      </c>
    </row>
    <row r="8" spans="4:16" ht="15.6" x14ac:dyDescent="0.3">
      <c r="D8" s="196" t="s">
        <v>228</v>
      </c>
      <c r="E8" s="197" t="s">
        <v>285</v>
      </c>
      <c r="F8" s="300">
        <f t="shared" si="0"/>
        <v>6328</v>
      </c>
      <c r="G8" s="301">
        <v>12</v>
      </c>
      <c r="H8" s="198">
        <f>((0.943-0.111*(G8^0.5))^2)*F8</f>
        <v>1973.7359997792075</v>
      </c>
      <c r="I8" s="198">
        <f t="shared" si="2"/>
        <v>1099.050058281158</v>
      </c>
      <c r="J8" s="303">
        <v>0.05</v>
      </c>
      <c r="K8" s="198">
        <f t="shared" si="5"/>
        <v>589.95842115274706</v>
      </c>
      <c r="L8" s="198">
        <f t="shared" si="1"/>
        <v>15.82</v>
      </c>
      <c r="M8" s="198">
        <f t="shared" si="3"/>
        <v>0</v>
      </c>
      <c r="N8" s="199">
        <f t="shared" si="4"/>
        <v>605.77842115274711</v>
      </c>
      <c r="O8" s="300">
        <v>4520</v>
      </c>
    </row>
    <row r="9" spans="4:16" ht="15.6" x14ac:dyDescent="0.3">
      <c r="D9" s="196" t="s">
        <v>229</v>
      </c>
      <c r="E9" s="197" t="s">
        <v>285</v>
      </c>
      <c r="F9" s="300">
        <f t="shared" si="0"/>
        <v>14000</v>
      </c>
      <c r="G9" s="301">
        <v>15</v>
      </c>
      <c r="H9" s="198">
        <f>((0.756-0.067*(G9^0.5))^2)*F9</f>
        <v>3451.3121313412535</v>
      </c>
      <c r="I9" s="198">
        <f>H9/(1+J9)^G9</f>
        <v>1660.140146023931</v>
      </c>
      <c r="J9" s="303">
        <v>0.05</v>
      </c>
      <c r="K9" s="198">
        <f t="shared" si="5"/>
        <v>1188.8503271095308</v>
      </c>
      <c r="L9" s="198">
        <f t="shared" si="1"/>
        <v>35</v>
      </c>
      <c r="M9" s="198">
        <f t="shared" si="3"/>
        <v>0</v>
      </c>
      <c r="N9" s="199">
        <f t="shared" si="4"/>
        <v>1223.8503271095308</v>
      </c>
      <c r="O9" s="300">
        <v>10000</v>
      </c>
    </row>
    <row r="10" spans="4:16" ht="15.6" x14ac:dyDescent="0.3">
      <c r="D10" s="363" t="s">
        <v>308</v>
      </c>
      <c r="E10" s="197" t="s">
        <v>285</v>
      </c>
      <c r="F10" s="300">
        <v>20000</v>
      </c>
      <c r="G10" s="301">
        <v>15</v>
      </c>
      <c r="H10" s="198">
        <f>((0.756-0.067*(G10^0.5))^2)*F10</f>
        <v>4930.4459019160759</v>
      </c>
      <c r="I10" s="198">
        <f t="shared" si="2"/>
        <v>2371.628780034187</v>
      </c>
      <c r="J10" s="303">
        <v>0.05</v>
      </c>
      <c r="K10" s="198">
        <f t="shared" si="5"/>
        <v>1698.3576101564722</v>
      </c>
      <c r="L10" s="198">
        <f t="shared" si="1"/>
        <v>50</v>
      </c>
      <c r="M10" s="198">
        <f t="shared" si="3"/>
        <v>0</v>
      </c>
      <c r="N10" s="199">
        <f>K10+L10+M10*1.13</f>
        <v>1748.3576101564722</v>
      </c>
      <c r="O10" s="300"/>
    </row>
    <row r="11" spans="4:16" ht="15.6" x14ac:dyDescent="0.3">
      <c r="D11" s="196" t="s">
        <v>231</v>
      </c>
      <c r="E11" s="197" t="s">
        <v>285</v>
      </c>
      <c r="F11" s="300">
        <f t="shared" si="0"/>
        <v>5600</v>
      </c>
      <c r="G11" s="301">
        <v>12</v>
      </c>
      <c r="H11" s="198">
        <f>((0.943-0.111*(G11^0.5))^2)*F11</f>
        <v>1746.669026353281</v>
      </c>
      <c r="I11" s="198">
        <f t="shared" si="2"/>
        <v>972.61067104527262</v>
      </c>
      <c r="J11" s="303">
        <v>0.05</v>
      </c>
      <c r="K11" s="198">
        <f t="shared" si="5"/>
        <v>522.08709836526293</v>
      </c>
      <c r="L11" s="198">
        <f t="shared" si="1"/>
        <v>14</v>
      </c>
      <c r="M11" s="198">
        <f t="shared" si="3"/>
        <v>0</v>
      </c>
      <c r="N11" s="199">
        <f t="shared" si="4"/>
        <v>536.08709836526293</v>
      </c>
      <c r="O11" s="300">
        <v>4000</v>
      </c>
    </row>
    <row r="12" spans="4:16" ht="15.6" x14ac:dyDescent="0.3">
      <c r="D12" s="196" t="s">
        <v>232</v>
      </c>
      <c r="E12" s="197" t="s">
        <v>285</v>
      </c>
      <c r="F12" s="300">
        <f t="shared" si="0"/>
        <v>23730</v>
      </c>
      <c r="G12" s="301">
        <v>15</v>
      </c>
      <c r="H12" s="198">
        <f>((0.756-0.067*(G12^0.5))^2)*F12</f>
        <v>5849.9740626234243</v>
      </c>
      <c r="I12" s="198">
        <f>H12/(1+J12)^G12</f>
        <v>2813.937547510563</v>
      </c>
      <c r="J12" s="303">
        <v>0.05</v>
      </c>
      <c r="K12" s="198">
        <f t="shared" si="5"/>
        <v>2015.1013044506547</v>
      </c>
      <c r="L12" s="198">
        <f t="shared" si="1"/>
        <v>59.325000000000003</v>
      </c>
      <c r="M12" s="198">
        <f t="shared" si="3"/>
        <v>0</v>
      </c>
      <c r="N12" s="199">
        <f t="shared" si="4"/>
        <v>2074.4263044506547</v>
      </c>
      <c r="O12" s="300">
        <v>16950</v>
      </c>
    </row>
    <row r="13" spans="4:16" ht="16.2" thickBot="1" x14ac:dyDescent="0.35">
      <c r="D13" s="196" t="s">
        <v>233</v>
      </c>
      <c r="E13" s="197" t="s">
        <v>285</v>
      </c>
      <c r="F13" s="300">
        <f t="shared" si="0"/>
        <v>11200</v>
      </c>
      <c r="G13" s="301">
        <v>15</v>
      </c>
      <c r="H13" s="198">
        <f>((0.756-0.067*(G13^0.5))^2)*F13</f>
        <v>2761.0497050730028</v>
      </c>
      <c r="I13" s="198">
        <f>H13/(1+J13)^G13</f>
        <v>1328.1121168191448</v>
      </c>
      <c r="J13" s="303">
        <v>0.05</v>
      </c>
      <c r="K13" s="198">
        <f t="shared" si="5"/>
        <v>951.08026168762444</v>
      </c>
      <c r="L13" s="198">
        <f t="shared" si="1"/>
        <v>28</v>
      </c>
      <c r="M13" s="198">
        <f t="shared" si="3"/>
        <v>0</v>
      </c>
      <c r="N13" s="199">
        <f t="shared" si="4"/>
        <v>979.08026168762444</v>
      </c>
      <c r="O13" s="300">
        <v>8000</v>
      </c>
    </row>
    <row r="14" spans="4:16" ht="16.2" thickBot="1" x14ac:dyDescent="0.35">
      <c r="D14" s="201" t="s">
        <v>234</v>
      </c>
      <c r="E14" s="193"/>
      <c r="F14" s="202">
        <f>SUM(F3:F13)</f>
        <v>368116.7</v>
      </c>
      <c r="G14" s="193"/>
      <c r="H14" s="202"/>
      <c r="I14" s="193"/>
      <c r="J14" s="193"/>
      <c r="K14" s="202">
        <f>SUM(K3:K13)</f>
        <v>41197.734699850902</v>
      </c>
      <c r="L14" s="193"/>
      <c r="M14" s="193"/>
      <c r="N14" s="203">
        <f>SUM(N3:N13)</f>
        <v>42118.026449850906</v>
      </c>
    </row>
    <row r="15" spans="4:16" ht="15" thickBot="1" x14ac:dyDescent="0.35">
      <c r="D15" s="189"/>
      <c r="E15" s="190"/>
      <c r="F15" s="190"/>
      <c r="G15" s="190"/>
      <c r="H15" s="190"/>
      <c r="I15" s="190"/>
      <c r="J15" s="190"/>
      <c r="K15" s="190"/>
      <c r="L15" s="190"/>
      <c r="M15" s="190"/>
      <c r="N15" s="191"/>
    </row>
    <row r="16" spans="4:16" ht="18.600000000000001" thickBot="1" x14ac:dyDescent="0.4">
      <c r="D16" s="561" t="s">
        <v>323</v>
      </c>
      <c r="E16" s="562"/>
      <c r="F16" s="562"/>
      <c r="G16" s="562"/>
      <c r="H16" s="562"/>
      <c r="I16" s="562"/>
      <c r="J16" s="562"/>
      <c r="K16" s="562"/>
      <c r="L16" s="562"/>
      <c r="M16" s="562"/>
      <c r="N16" s="563"/>
    </row>
    <row r="17" spans="4:14" ht="48" thickBot="1" x14ac:dyDescent="0.35">
      <c r="D17" s="201" t="s">
        <v>235</v>
      </c>
      <c r="E17" s="193" t="s">
        <v>236</v>
      </c>
      <c r="F17" s="194" t="s">
        <v>246</v>
      </c>
      <c r="G17" s="194" t="s">
        <v>284</v>
      </c>
      <c r="H17" s="194" t="s">
        <v>247</v>
      </c>
      <c r="I17" s="193" t="s">
        <v>220</v>
      </c>
      <c r="J17" s="193" t="s">
        <v>238</v>
      </c>
      <c r="K17" s="193" t="s">
        <v>248</v>
      </c>
      <c r="L17" s="194" t="s">
        <v>249</v>
      </c>
      <c r="M17" s="194" t="s">
        <v>239</v>
      </c>
      <c r="N17" s="204" t="s">
        <v>240</v>
      </c>
    </row>
    <row r="18" spans="4:14" ht="15.6" x14ac:dyDescent="0.3">
      <c r="D18" s="196" t="str">
        <f>D3</f>
        <v>85 HP 2WD Tractor</v>
      </c>
      <c r="E18" s="197" t="s">
        <v>285</v>
      </c>
      <c r="F18" s="205">
        <f>2*G18</f>
        <v>832</v>
      </c>
      <c r="G18" s="302">
        <v>416</v>
      </c>
      <c r="H18" s="200">
        <f t="shared" ref="H18:H28" si="6">(K3/F18)</f>
        <v>12.183432823773412</v>
      </c>
      <c r="I18" s="200">
        <f t="shared" ref="I18:I28" si="7">(L3/F18)</f>
        <v>0.19727463942307691</v>
      </c>
      <c r="J18" s="200">
        <f t="shared" ref="J18:J28" si="8">(M3/F18)</f>
        <v>0</v>
      </c>
      <c r="K18" s="200">
        <f>3.92*1.13</f>
        <v>4.4295999999999998</v>
      </c>
      <c r="L18" s="200">
        <f>(0.044*85*4)*1.1</f>
        <v>16.456</v>
      </c>
      <c r="M18" s="200">
        <f>L18+K18</f>
        <v>20.8856</v>
      </c>
      <c r="N18" s="206">
        <f>H18+I18+J18+K18+L18</f>
        <v>33.266307463196483</v>
      </c>
    </row>
    <row r="19" spans="4:14" ht="15.6" x14ac:dyDescent="0.3">
      <c r="D19" s="196" t="str">
        <f t="shared" ref="D19:D28" si="9">D4</f>
        <v>60 HP 2WD Tractor</v>
      </c>
      <c r="E19" s="197" t="s">
        <v>285</v>
      </c>
      <c r="F19" s="205">
        <f>2*G19</f>
        <v>1000</v>
      </c>
      <c r="G19" s="302">
        <v>500</v>
      </c>
      <c r="H19" s="200">
        <f t="shared" si="6"/>
        <v>8.0270372916653354</v>
      </c>
      <c r="I19" s="200">
        <f t="shared" si="7"/>
        <v>0.11469500000000001</v>
      </c>
      <c r="J19" s="200">
        <f t="shared" si="8"/>
        <v>0</v>
      </c>
      <c r="K19" s="200">
        <f>3.05*1.13</f>
        <v>3.4464999999999995</v>
      </c>
      <c r="L19" s="200">
        <f>(0.044*60*4)*1.1</f>
        <v>11.616</v>
      </c>
      <c r="M19" s="200">
        <f>L19+K19</f>
        <v>15.0625</v>
      </c>
      <c r="N19" s="206">
        <f>H19+I19+J19+K19+L19</f>
        <v>23.204232291665335</v>
      </c>
    </row>
    <row r="20" spans="4:14" ht="15.6" x14ac:dyDescent="0.3">
      <c r="D20" s="196" t="str">
        <f t="shared" si="9"/>
        <v>60 HP 2WD Used Tractor</v>
      </c>
      <c r="E20" s="197" t="s">
        <v>285</v>
      </c>
      <c r="F20" s="205">
        <f>2*G20</f>
        <v>800</v>
      </c>
      <c r="G20" s="302">
        <v>400</v>
      </c>
      <c r="H20" s="200">
        <f t="shared" si="6"/>
        <v>2.5430484523163881</v>
      </c>
      <c r="I20" s="200">
        <f t="shared" si="7"/>
        <v>3.6336562499999996E-2</v>
      </c>
      <c r="J20" s="200">
        <f t="shared" si="8"/>
        <v>0</v>
      </c>
      <c r="K20" s="200">
        <f>8.51*1.13</f>
        <v>9.616299999999999</v>
      </c>
      <c r="L20" s="200">
        <f>(0.044*60*4)*1.1</f>
        <v>11.616</v>
      </c>
      <c r="M20" s="200">
        <f>L20+K20</f>
        <v>21.232299999999999</v>
      </c>
      <c r="N20" s="206">
        <f>H20+I20+J20+K20+L20</f>
        <v>23.811685014816387</v>
      </c>
    </row>
    <row r="21" spans="4:14" ht="15.6" x14ac:dyDescent="0.3">
      <c r="D21" s="363" t="str">
        <f t="shared" si="9"/>
        <v>Vacuum Harvester FACMA</v>
      </c>
      <c r="E21" s="197" t="s">
        <v>285</v>
      </c>
      <c r="F21" s="205">
        <f>G21</f>
        <v>50</v>
      </c>
      <c r="G21" s="302">
        <v>50</v>
      </c>
      <c r="H21" s="200">
        <f t="shared" si="6"/>
        <v>135.97651637016881</v>
      </c>
      <c r="I21" s="200">
        <f t="shared" si="7"/>
        <v>4.25</v>
      </c>
      <c r="J21" s="200">
        <f t="shared" si="8"/>
        <v>0</v>
      </c>
      <c r="K21" s="200">
        <f>10*1.13</f>
        <v>11.299999999999999</v>
      </c>
      <c r="L21" s="200">
        <f>(0.044*150*4)*1.1</f>
        <v>29.04</v>
      </c>
      <c r="M21" s="200">
        <f>L21+K21</f>
        <v>40.339999999999996</v>
      </c>
      <c r="N21" s="206">
        <f t="shared" ref="N21:N28" si="10">H21+I21+J21+K21+L21</f>
        <v>180.56651637016881</v>
      </c>
    </row>
    <row r="22" spans="4:14" ht="15.6" x14ac:dyDescent="0.3">
      <c r="D22" s="196" t="str">
        <f t="shared" si="9"/>
        <v>Orch.Sprayer 500 G</v>
      </c>
      <c r="E22" s="197" t="s">
        <v>285</v>
      </c>
      <c r="F22" s="205">
        <f t="shared" ref="F22:F28" si="11">2*G22</f>
        <v>572</v>
      </c>
      <c r="G22" s="302">
        <v>286</v>
      </c>
      <c r="H22" s="200">
        <f t="shared" si="6"/>
        <v>12.649268698465464</v>
      </c>
      <c r="I22" s="200">
        <f t="shared" si="7"/>
        <v>0.34571678321678323</v>
      </c>
      <c r="J22" s="200">
        <f t="shared" si="8"/>
        <v>0</v>
      </c>
      <c r="K22" s="200">
        <f>8.32*1.13</f>
        <v>9.4016000000000002</v>
      </c>
      <c r="L22" s="200">
        <v>0</v>
      </c>
      <c r="M22" s="200">
        <f t="shared" ref="M22:M28" si="12">L22+K22</f>
        <v>9.4016000000000002</v>
      </c>
      <c r="N22" s="206">
        <f t="shared" si="10"/>
        <v>22.396585481682248</v>
      </c>
    </row>
    <row r="23" spans="4:14" ht="15.6" x14ac:dyDescent="0.3">
      <c r="D23" s="196" t="str">
        <f t="shared" si="9"/>
        <v>Weed Sprayer 100 G</v>
      </c>
      <c r="E23" s="197" t="s">
        <v>285</v>
      </c>
      <c r="F23" s="205">
        <f t="shared" si="11"/>
        <v>96</v>
      </c>
      <c r="G23" s="302">
        <v>48</v>
      </c>
      <c r="H23" s="200">
        <f t="shared" si="6"/>
        <v>6.1454002203411155</v>
      </c>
      <c r="I23" s="200">
        <f t="shared" si="7"/>
        <v>0.16479166666666667</v>
      </c>
      <c r="J23" s="200">
        <f t="shared" si="8"/>
        <v>0</v>
      </c>
      <c r="K23" s="200">
        <f>0.64*1.13</f>
        <v>0.72319999999999995</v>
      </c>
      <c r="L23" s="200">
        <v>0</v>
      </c>
      <c r="M23" s="200">
        <f t="shared" si="12"/>
        <v>0.72319999999999995</v>
      </c>
      <c r="N23" s="206">
        <f t="shared" si="10"/>
        <v>7.0333918870077827</v>
      </c>
    </row>
    <row r="24" spans="4:14" ht="15.6" x14ac:dyDescent="0.3">
      <c r="D24" s="196" t="str">
        <f t="shared" si="9"/>
        <v xml:space="preserve">Rotary mower </v>
      </c>
      <c r="E24" s="197" t="s">
        <v>285</v>
      </c>
      <c r="F24" s="205">
        <f t="shared" si="11"/>
        <v>94</v>
      </c>
      <c r="G24" s="302">
        <v>47</v>
      </c>
      <c r="H24" s="200">
        <f t="shared" si="6"/>
        <v>12.64734390542054</v>
      </c>
      <c r="I24" s="200">
        <f t="shared" si="7"/>
        <v>0.37234042553191488</v>
      </c>
      <c r="J24" s="200">
        <f t="shared" si="8"/>
        <v>0</v>
      </c>
      <c r="K24" s="200">
        <f>3.13*1.13</f>
        <v>3.5368999999999997</v>
      </c>
      <c r="L24" s="200">
        <v>0</v>
      </c>
      <c r="M24" s="200">
        <f t="shared" si="12"/>
        <v>3.5368999999999997</v>
      </c>
      <c r="N24" s="206">
        <f t="shared" si="10"/>
        <v>16.556584330952454</v>
      </c>
    </row>
    <row r="25" spans="4:14" ht="15.6" x14ac:dyDescent="0.3">
      <c r="D25" s="363" t="str">
        <f t="shared" si="9"/>
        <v>Pruning Basket</v>
      </c>
      <c r="E25" s="197" t="s">
        <v>285</v>
      </c>
      <c r="F25" s="205">
        <f>G25</f>
        <v>133</v>
      </c>
      <c r="G25" s="302">
        <v>133</v>
      </c>
      <c r="H25" s="200">
        <f t="shared" si="6"/>
        <v>12.769606091402046</v>
      </c>
      <c r="I25" s="200">
        <f t="shared" si="7"/>
        <v>0.37593984962406013</v>
      </c>
      <c r="J25" s="200">
        <f t="shared" si="8"/>
        <v>0</v>
      </c>
      <c r="K25" s="200">
        <f>3.78*1.13</f>
        <v>4.271399999999999</v>
      </c>
      <c r="L25" s="200">
        <v>0</v>
      </c>
      <c r="M25" s="200">
        <f t="shared" si="12"/>
        <v>4.271399999999999</v>
      </c>
      <c r="N25" s="206">
        <f t="shared" si="10"/>
        <v>17.416945941026107</v>
      </c>
    </row>
    <row r="26" spans="4:14" ht="15.6" x14ac:dyDescent="0.3">
      <c r="D26" s="196" t="str">
        <f t="shared" si="9"/>
        <v>Spin/Spreader -3PT</v>
      </c>
      <c r="E26" s="197" t="s">
        <v>285</v>
      </c>
      <c r="F26" s="205">
        <f t="shared" si="11"/>
        <v>140</v>
      </c>
      <c r="G26" s="302">
        <v>70</v>
      </c>
      <c r="H26" s="200">
        <f t="shared" si="6"/>
        <v>3.7291935597518782</v>
      </c>
      <c r="I26" s="200">
        <f t="shared" si="7"/>
        <v>0.1</v>
      </c>
      <c r="J26" s="200">
        <f t="shared" si="8"/>
        <v>0</v>
      </c>
      <c r="K26" s="200">
        <f>0.73*1.13</f>
        <v>0.82489999999999986</v>
      </c>
      <c r="L26" s="200">
        <v>0</v>
      </c>
      <c r="M26" s="200">
        <f t="shared" si="12"/>
        <v>0.82489999999999986</v>
      </c>
      <c r="N26" s="206">
        <f t="shared" si="10"/>
        <v>4.6540935597518782</v>
      </c>
    </row>
    <row r="27" spans="4:14" ht="15.6" x14ac:dyDescent="0.3">
      <c r="D27" s="196" t="str">
        <f t="shared" si="9"/>
        <v>Sickle bar</v>
      </c>
      <c r="E27" s="197" t="s">
        <v>285</v>
      </c>
      <c r="F27" s="205">
        <f t="shared" si="11"/>
        <v>200</v>
      </c>
      <c r="G27" s="302">
        <v>100</v>
      </c>
      <c r="H27" s="200">
        <f t="shared" si="6"/>
        <v>10.075506522253272</v>
      </c>
      <c r="I27" s="200">
        <f t="shared" si="7"/>
        <v>0.29662500000000003</v>
      </c>
      <c r="J27" s="200">
        <f t="shared" si="8"/>
        <v>0</v>
      </c>
      <c r="K27" s="200">
        <f>4.69*1.13</f>
        <v>5.2996999999999996</v>
      </c>
      <c r="L27" s="200">
        <v>0</v>
      </c>
      <c r="M27" s="200">
        <f t="shared" si="12"/>
        <v>5.2996999999999996</v>
      </c>
      <c r="N27" s="206">
        <f t="shared" si="10"/>
        <v>15.671831522253273</v>
      </c>
    </row>
    <row r="28" spans="4:14" ht="16.2" thickBot="1" x14ac:dyDescent="0.35">
      <c r="D28" s="196" t="str">
        <f t="shared" si="9"/>
        <v xml:space="preserve">Field Disc </v>
      </c>
      <c r="E28" s="197" t="s">
        <v>285</v>
      </c>
      <c r="F28" s="205">
        <f t="shared" si="11"/>
        <v>200</v>
      </c>
      <c r="G28" s="302">
        <v>100</v>
      </c>
      <c r="H28" s="200">
        <f t="shared" si="6"/>
        <v>4.7554013084381221</v>
      </c>
      <c r="I28" s="200">
        <f t="shared" si="7"/>
        <v>0.14000000000000001</v>
      </c>
      <c r="J28" s="200">
        <f t="shared" si="8"/>
        <v>0</v>
      </c>
      <c r="K28" s="200">
        <f>4.69*1.13</f>
        <v>5.2996999999999996</v>
      </c>
      <c r="L28" s="200">
        <v>0</v>
      </c>
      <c r="M28" s="200">
        <f t="shared" si="12"/>
        <v>5.2996999999999996</v>
      </c>
      <c r="N28" s="206">
        <f t="shared" si="10"/>
        <v>10.195101308438122</v>
      </c>
    </row>
    <row r="29" spans="4:14" ht="16.2" thickBot="1" x14ac:dyDescent="0.35">
      <c r="D29" s="201" t="s">
        <v>222</v>
      </c>
      <c r="E29" s="208"/>
      <c r="F29" s="209"/>
      <c r="G29" s="209"/>
      <c r="H29" s="209"/>
      <c r="I29" s="209"/>
      <c r="J29" s="209"/>
      <c r="K29" s="209"/>
      <c r="L29" s="209"/>
      <c r="M29" s="209"/>
      <c r="N29" s="210">
        <f>SUM(N18:N28)</f>
        <v>354.77327517095875</v>
      </c>
    </row>
    <row r="30" spans="4:14" ht="15" customHeight="1" x14ac:dyDescent="0.3">
      <c r="D30" s="564" t="s">
        <v>304</v>
      </c>
      <c r="E30" s="565"/>
      <c r="F30" s="565"/>
      <c r="G30" s="565"/>
      <c r="H30" s="565"/>
      <c r="I30" s="565"/>
      <c r="J30" s="565"/>
      <c r="K30" s="565"/>
      <c r="L30" s="565"/>
      <c r="M30" s="565"/>
      <c r="N30" s="566"/>
    </row>
    <row r="31" spans="4:14" x14ac:dyDescent="0.3">
      <c r="D31" s="567" t="s">
        <v>242</v>
      </c>
      <c r="E31" s="568"/>
      <c r="F31" s="568"/>
      <c r="G31" s="568"/>
      <c r="H31" s="568"/>
      <c r="I31" s="568"/>
      <c r="J31" s="568"/>
      <c r="K31" s="568"/>
      <c r="L31" s="568"/>
      <c r="M31" s="568"/>
      <c r="N31" s="569"/>
    </row>
    <row r="32" spans="4:14" x14ac:dyDescent="0.3">
      <c r="D32" s="555" t="s">
        <v>243</v>
      </c>
      <c r="E32" s="556"/>
      <c r="F32" s="556"/>
      <c r="G32" s="556"/>
      <c r="H32" s="556"/>
      <c r="I32" s="556"/>
      <c r="J32" s="556"/>
      <c r="K32" s="556"/>
      <c r="L32" s="556"/>
      <c r="M32" s="556"/>
      <c r="N32" s="557"/>
    </row>
    <row r="33" spans="4:14" x14ac:dyDescent="0.3">
      <c r="D33" s="555" t="s">
        <v>244</v>
      </c>
      <c r="E33" s="556"/>
      <c r="F33" s="556"/>
      <c r="G33" s="556"/>
      <c r="H33" s="556"/>
      <c r="I33" s="556"/>
      <c r="J33" s="556"/>
      <c r="K33" s="556"/>
      <c r="L33" s="556"/>
      <c r="M33" s="556"/>
      <c r="N33" s="557"/>
    </row>
    <row r="34" spans="4:14" s="278" customFormat="1" x14ac:dyDescent="0.3"/>
    <row r="35" spans="4:14" s="278" customFormat="1" x14ac:dyDescent="0.3"/>
    <row r="36" spans="4:14" s="278" customFormat="1" x14ac:dyDescent="0.3"/>
    <row r="37" spans="4:14" s="278" customFormat="1" x14ac:dyDescent="0.3"/>
    <row r="38" spans="4:14" s="278" customFormat="1" x14ac:dyDescent="0.3"/>
    <row r="39" spans="4:14" s="278" customFormat="1" x14ac:dyDescent="0.3"/>
    <row r="40" spans="4:14" s="278" customFormat="1" x14ac:dyDescent="0.3"/>
    <row r="41" spans="4:14" s="278" customFormat="1" x14ac:dyDescent="0.3"/>
    <row r="42" spans="4:14" s="278" customFormat="1" x14ac:dyDescent="0.3"/>
    <row r="43" spans="4:14" s="278" customFormat="1" x14ac:dyDescent="0.3"/>
    <row r="44" spans="4:14" s="278" customFormat="1" x14ac:dyDescent="0.3"/>
    <row r="45" spans="4:14" s="278" customFormat="1" x14ac:dyDescent="0.3"/>
    <row r="46" spans="4:14" s="278" customFormat="1" x14ac:dyDescent="0.3"/>
    <row r="47" spans="4:14" s="278" customFormat="1" x14ac:dyDescent="0.3"/>
    <row r="48" spans="4:14" s="278" customFormat="1" x14ac:dyDescent="0.3"/>
    <row r="49" s="278" customFormat="1" x14ac:dyDescent="0.3"/>
    <row r="50" s="278" customFormat="1" x14ac:dyDescent="0.3"/>
    <row r="51" s="278" customFormat="1" x14ac:dyDescent="0.3"/>
    <row r="52" s="278" customFormat="1" x14ac:dyDescent="0.3"/>
    <row r="53" s="278" customFormat="1" x14ac:dyDescent="0.3"/>
    <row r="54" s="278" customFormat="1" x14ac:dyDescent="0.3"/>
  </sheetData>
  <mergeCells count="6">
    <mergeCell ref="D32:N32"/>
    <mergeCell ref="D33:N33"/>
    <mergeCell ref="D1:N1"/>
    <mergeCell ref="D16:N16"/>
    <mergeCell ref="D30:N30"/>
    <mergeCell ref="D31:N31"/>
  </mergeCells>
  <pageMargins left="0.7" right="0.7" top="0.75" bottom="0.75" header="0.3" footer="0.3"/>
  <pageSetup orientation="portrait" r:id="rId1"/>
  <ignoredErrors>
    <ignoredError sqref="H1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vt:i4>
      </vt:variant>
    </vt:vector>
  </HeadingPairs>
  <TitlesOfParts>
    <vt:vector size="23" baseType="lpstr">
      <vt:lpstr>Background &amp; Instructions</vt:lpstr>
      <vt:lpstr>Analysis &amp; Interpretation</vt:lpstr>
      <vt:lpstr>Assum - Age, Yield, TRR &amp; Prem</vt:lpstr>
      <vt:lpstr>Chestnuts Orchard Model</vt:lpstr>
      <vt:lpstr>Defender(TartCher)Orchard Model</vt:lpstr>
      <vt:lpstr>Chestnuts Cost to Establish</vt:lpstr>
      <vt:lpstr>Defender ACPA (2)</vt:lpstr>
      <vt:lpstr>Chestnuts Cost Per Acre</vt:lpstr>
      <vt:lpstr>Chestnuts Machinery Cost</vt:lpstr>
      <vt:lpstr>Defender Cost to Establish</vt:lpstr>
      <vt:lpstr>Defender Cost Per Acre</vt:lpstr>
      <vt:lpstr>Challenger ACPA (2)</vt:lpstr>
      <vt:lpstr>Sheet4</vt:lpstr>
      <vt:lpstr>Sheet6</vt:lpstr>
      <vt:lpstr> Do Not Modify Defender ML</vt:lpstr>
      <vt:lpstr>DNM Break-Even Challenger ML</vt:lpstr>
      <vt:lpstr>Sheet1</vt:lpstr>
      <vt:lpstr>Sheet2</vt:lpstr>
      <vt:lpstr>Sheet3</vt:lpstr>
      <vt:lpstr>Defender Machinery Cost</vt:lpstr>
      <vt:lpstr>Sheet5</vt:lpstr>
      <vt:lpstr>'Chestnuts Cost Per Acre'!Print_Area</vt:lpstr>
      <vt:lpstr>'Defender Cost Per Acre'!Print_Area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Chestnut Capital Investment</dc:title>
  <dc:creator/>
  <cp:lastModifiedBy/>
  <dcterms:created xsi:type="dcterms:W3CDTF">2014-01-07T18:37:21Z</dcterms:created>
  <dcterms:modified xsi:type="dcterms:W3CDTF">2014-01-08T19:37:11Z</dcterms:modified>
</cp:coreProperties>
</file>